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0"/>
  </bookViews>
  <sheets>
    <sheet name="template" sheetId="3" r:id="rId1"/>
    <sheet name="Copyright-2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3" l="1"/>
  <c r="C78" i="3"/>
  <c r="C72" i="3"/>
  <c r="C20" i="3"/>
  <c r="C6" i="3" l="1"/>
  <c r="J5" i="3"/>
  <c r="G53" i="3" l="1"/>
  <c r="G52" i="3"/>
  <c r="D58" i="3" l="1"/>
  <c r="D57" i="3"/>
  <c r="D61" i="3" s="1"/>
  <c r="D56" i="3"/>
  <c r="D69" i="3"/>
  <c r="G25" i="3"/>
  <c r="H25" i="3" s="1"/>
  <c r="I25" i="3" s="1"/>
  <c r="J25" i="3" s="1"/>
  <c r="K25" i="3" s="1"/>
  <c r="L25" i="3" s="1"/>
  <c r="M25" i="3" s="1"/>
  <c r="N25" i="3" s="1"/>
  <c r="O25" i="3" s="1"/>
  <c r="P25" i="3" s="1"/>
  <c r="F23" i="3"/>
  <c r="G23" i="3" s="1"/>
  <c r="G54" i="3" s="1"/>
  <c r="H23" i="3" l="1"/>
  <c r="F29" i="3" l="1"/>
  <c r="F39" i="3" s="1"/>
  <c r="D62" i="3"/>
  <c r="D60" i="3"/>
  <c r="F41" i="3"/>
  <c r="H74" i="3"/>
  <c r="G74" i="3"/>
  <c r="F74" i="3"/>
  <c r="J70" i="3"/>
  <c r="G70" i="3"/>
  <c r="D70" i="3"/>
  <c r="J69" i="3"/>
  <c r="G69" i="3"/>
  <c r="J68" i="3"/>
  <c r="G68" i="3"/>
  <c r="F35" i="3"/>
  <c r="F27" i="3"/>
  <c r="F24" i="3"/>
  <c r="F46" i="3" l="1"/>
  <c r="F28" i="3"/>
  <c r="G28" i="3" s="1"/>
  <c r="H28" i="3" s="1"/>
  <c r="F42" i="3"/>
  <c r="G42" i="3" s="1"/>
  <c r="H42" i="3" s="1"/>
  <c r="I42" i="3" s="1"/>
  <c r="G35" i="3"/>
  <c r="H35" i="3" s="1"/>
  <c r="I35" i="3" s="1"/>
  <c r="F31" i="3"/>
  <c r="F30" i="3"/>
  <c r="G30" i="3" s="1"/>
  <c r="F40" i="3"/>
  <c r="G24" i="3"/>
  <c r="G43" i="3" s="1"/>
  <c r="G41" i="3" l="1"/>
  <c r="H54" i="3"/>
  <c r="G29" i="3"/>
  <c r="G39" i="3" s="1"/>
  <c r="G40" i="3" s="1"/>
  <c r="G46" i="3"/>
  <c r="H24" i="3"/>
  <c r="H43" i="3" s="1"/>
  <c r="F32" i="3"/>
  <c r="I28" i="3"/>
  <c r="J35" i="3"/>
  <c r="H30" i="3"/>
  <c r="J42" i="3"/>
  <c r="F34" i="3"/>
  <c r="F36" i="3" s="1"/>
  <c r="F47" i="3" s="1"/>
  <c r="G27" i="3"/>
  <c r="H41" i="3" l="1"/>
  <c r="H46" i="3"/>
  <c r="I23" i="3"/>
  <c r="I54" i="3" s="1"/>
  <c r="G31" i="3"/>
  <c r="I24" i="3"/>
  <c r="H27" i="3"/>
  <c r="F37" i="3"/>
  <c r="F48" i="3"/>
  <c r="K35" i="3"/>
  <c r="K42" i="3"/>
  <c r="J28" i="3"/>
  <c r="I30" i="3"/>
  <c r="H29" i="3"/>
  <c r="H39" i="3" s="1"/>
  <c r="H40" i="3" s="1"/>
  <c r="I43" i="3" l="1"/>
  <c r="J23" i="3"/>
  <c r="K23" i="3" s="1"/>
  <c r="J24" i="3"/>
  <c r="J43" i="3" s="1"/>
  <c r="I41" i="3"/>
  <c r="I46" i="3"/>
  <c r="H31" i="3"/>
  <c r="I27" i="3"/>
  <c r="G34" i="3"/>
  <c r="G36" i="3" s="1"/>
  <c r="G32" i="3"/>
  <c r="J30" i="3"/>
  <c r="I29" i="3"/>
  <c r="I39" i="3" s="1"/>
  <c r="I40" i="3" s="1"/>
  <c r="L42" i="3"/>
  <c r="K28" i="3"/>
  <c r="L35" i="3"/>
  <c r="J41" i="3" l="1"/>
  <c r="J54" i="3"/>
  <c r="K54" i="3" s="1"/>
  <c r="J46" i="3"/>
  <c r="J27" i="3"/>
  <c r="K24" i="3"/>
  <c r="K43" i="3" s="1"/>
  <c r="I31" i="3"/>
  <c r="I32" i="3" s="1"/>
  <c r="G37" i="3"/>
  <c r="L28" i="3"/>
  <c r="K30" i="3"/>
  <c r="J29" i="3"/>
  <c r="J39" i="3" s="1"/>
  <c r="J40" i="3" s="1"/>
  <c r="M42" i="3"/>
  <c r="L23" i="3"/>
  <c r="M35" i="3"/>
  <c r="H32" i="3"/>
  <c r="H34" i="3"/>
  <c r="H36" i="3" s="1"/>
  <c r="H47" i="3" s="1"/>
  <c r="H56" i="3" s="1"/>
  <c r="K41" i="3" l="1"/>
  <c r="J31" i="3"/>
  <c r="K27" i="3"/>
  <c r="K46" i="3"/>
  <c r="L24" i="3"/>
  <c r="L43" i="3" s="1"/>
  <c r="I34" i="3"/>
  <c r="I36" i="3" s="1"/>
  <c r="I47" i="3" s="1"/>
  <c r="I56" i="3" s="1"/>
  <c r="H37" i="3"/>
  <c r="K29" i="3"/>
  <c r="K39" i="3" s="1"/>
  <c r="K40" i="3" s="1"/>
  <c r="L30" i="3"/>
  <c r="L54" i="3"/>
  <c r="M23" i="3"/>
  <c r="N35" i="3"/>
  <c r="N42" i="3"/>
  <c r="M28" i="3"/>
  <c r="L46" i="3" l="1"/>
  <c r="L41" i="3"/>
  <c r="L27" i="3"/>
  <c r="M24" i="3"/>
  <c r="I37" i="3"/>
  <c r="K31" i="3"/>
  <c r="K32" i="3" s="1"/>
  <c r="J32" i="3"/>
  <c r="J34" i="3"/>
  <c r="J36" i="3" s="1"/>
  <c r="J47" i="3" s="1"/>
  <c r="J56" i="3" s="1"/>
  <c r="O35" i="3"/>
  <c r="L29" i="3"/>
  <c r="L39" i="3" s="1"/>
  <c r="L40" i="3" s="1"/>
  <c r="M30" i="3"/>
  <c r="M54" i="3"/>
  <c r="N23" i="3"/>
  <c r="N28" i="3"/>
  <c r="O42" i="3"/>
  <c r="I48" i="3"/>
  <c r="I57" i="3"/>
  <c r="I58" i="3"/>
  <c r="H58" i="3"/>
  <c r="H48" i="3"/>
  <c r="H57" i="3"/>
  <c r="M41" i="3" l="1"/>
  <c r="M43" i="3"/>
  <c r="M46" i="3"/>
  <c r="M27" i="3"/>
  <c r="N24" i="3"/>
  <c r="K34" i="3"/>
  <c r="K36" i="3" s="1"/>
  <c r="K47" i="3" s="1"/>
  <c r="L31" i="3"/>
  <c r="L32" i="3" s="1"/>
  <c r="J37" i="3"/>
  <c r="O28" i="3"/>
  <c r="N54" i="3"/>
  <c r="O23" i="3"/>
  <c r="P42" i="3"/>
  <c r="M29" i="3"/>
  <c r="M39" i="3" s="1"/>
  <c r="M40" i="3" s="1"/>
  <c r="N30" i="3"/>
  <c r="P35" i="3"/>
  <c r="N43" i="3" l="1"/>
  <c r="N41" i="3"/>
  <c r="N46" i="3"/>
  <c r="O24" i="3"/>
  <c r="N27" i="3"/>
  <c r="K37" i="3"/>
  <c r="L34" i="3"/>
  <c r="L36" i="3" s="1"/>
  <c r="L47" i="3" s="1"/>
  <c r="M31" i="3"/>
  <c r="P28" i="3"/>
  <c r="O54" i="3"/>
  <c r="P23" i="3"/>
  <c r="K57" i="3"/>
  <c r="K58" i="3"/>
  <c r="K56" i="3"/>
  <c r="K48" i="3"/>
  <c r="N29" i="3"/>
  <c r="N39" i="3" s="1"/>
  <c r="N40" i="3" s="1"/>
  <c r="O30" i="3"/>
  <c r="J57" i="3"/>
  <c r="J58" i="3"/>
  <c r="J48" i="3"/>
  <c r="P54" i="3" l="1"/>
  <c r="D68" i="3" s="1"/>
  <c r="P24" i="3"/>
  <c r="P41" i="3" s="1"/>
  <c r="O43" i="3"/>
  <c r="O41" i="3"/>
  <c r="O27" i="3"/>
  <c r="O46" i="3"/>
  <c r="L37" i="3"/>
  <c r="N31" i="3"/>
  <c r="N32" i="3" s="1"/>
  <c r="M32" i="3"/>
  <c r="M34" i="3"/>
  <c r="M36" i="3" s="1"/>
  <c r="M47" i="3" s="1"/>
  <c r="O29" i="3"/>
  <c r="O39" i="3" s="1"/>
  <c r="O40" i="3" s="1"/>
  <c r="P30" i="3"/>
  <c r="L56" i="3"/>
  <c r="L58" i="3"/>
  <c r="L57" i="3"/>
  <c r="L48" i="3"/>
  <c r="P29" i="3" l="1"/>
  <c r="P39" i="3" s="1"/>
  <c r="P40" i="3" s="1"/>
  <c r="P27" i="3"/>
  <c r="D66" i="3" s="1"/>
  <c r="P46" i="3"/>
  <c r="P43" i="3"/>
  <c r="N34" i="3"/>
  <c r="N36" i="3" s="1"/>
  <c r="N47" i="3" s="1"/>
  <c r="O31" i="3"/>
  <c r="M37" i="3"/>
  <c r="P31" i="3" l="1"/>
  <c r="P34" i="3" s="1"/>
  <c r="P36" i="3" s="1"/>
  <c r="P37" i="3" s="1"/>
  <c r="N37" i="3"/>
  <c r="O32" i="3"/>
  <c r="O34" i="3"/>
  <c r="O36" i="3" s="1"/>
  <c r="O47" i="3" s="1"/>
  <c r="N56" i="3"/>
  <c r="N58" i="3"/>
  <c r="N48" i="3"/>
  <c r="N57" i="3"/>
  <c r="M56" i="3"/>
  <c r="M48" i="3"/>
  <c r="M57" i="3"/>
  <c r="M58" i="3"/>
  <c r="P32" i="3" l="1"/>
  <c r="O37" i="3"/>
  <c r="O48" i="3" l="1"/>
  <c r="O58" i="3"/>
  <c r="O57" i="3"/>
  <c r="O56" i="3"/>
  <c r="G47" i="3" l="1"/>
  <c r="G56" i="3" s="1"/>
  <c r="G58" i="3" l="1"/>
  <c r="G48" i="3"/>
  <c r="G57" i="3"/>
  <c r="P47" i="3"/>
  <c r="P58" i="3" l="1"/>
  <c r="F62" i="3" s="1"/>
  <c r="H76" i="3" s="1"/>
  <c r="D67" i="3"/>
  <c r="P57" i="3"/>
  <c r="P48" i="3"/>
  <c r="P56" i="3"/>
  <c r="H70" i="3" l="1"/>
  <c r="K70" i="3" s="1"/>
  <c r="H77" i="3" s="1"/>
  <c r="H78" i="3" s="1"/>
  <c r="H69" i="3"/>
  <c r="K69" i="3" s="1"/>
  <c r="G77" i="3" s="1"/>
  <c r="H68" i="3"/>
  <c r="K68" i="3"/>
  <c r="F77" i="3" s="1"/>
  <c r="F61" i="3"/>
  <c r="F60" i="3"/>
  <c r="F76" i="3" s="1"/>
  <c r="H81" i="3" l="1"/>
  <c r="H80" i="3"/>
  <c r="F78" i="3"/>
  <c r="F80" i="3" s="1"/>
  <c r="G76" i="3"/>
  <c r="G78" i="3" s="1"/>
  <c r="F81" i="3" l="1"/>
  <c r="K5" i="3"/>
  <c r="G81" i="3"/>
  <c r="G80" i="3"/>
</calcChain>
</file>

<file path=xl/sharedStrings.xml><?xml version="1.0" encoding="utf-8"?>
<sst xmlns="http://schemas.openxmlformats.org/spreadsheetml/2006/main" count="80" uniqueCount="58">
  <si>
    <t>[COMPANY LOGO AND NAME]</t>
  </si>
  <si>
    <t>Inputs</t>
  </si>
  <si>
    <t>Legend</t>
  </si>
  <si>
    <t>Date of Valuation</t>
  </si>
  <si>
    <t>Blue = Inputs</t>
  </si>
  <si>
    <t>Revenue</t>
  </si>
  <si>
    <t>Black = Calculations</t>
  </si>
  <si>
    <t>EBITDA (Earnings)</t>
  </si>
  <si>
    <t>Depreciation</t>
  </si>
  <si>
    <t>Capital Expenditures</t>
  </si>
  <si>
    <t>Working Capital</t>
  </si>
  <si>
    <t>Rate Inputs (%)</t>
  </si>
  <si>
    <t>Company Value</t>
  </si>
  <si>
    <t>Discount Rate</t>
  </si>
  <si>
    <t>Tax Rate</t>
  </si>
  <si>
    <t>% growth</t>
  </si>
  <si>
    <t>--</t>
  </si>
  <si>
    <t>EBITDA</t>
  </si>
  <si>
    <t>% of sales</t>
  </si>
  <si>
    <t>EBIT</t>
  </si>
  <si>
    <t>Income Taxes</t>
  </si>
  <si>
    <t>% tax rate</t>
  </si>
  <si>
    <t>Net Operating Profit After Tax ("NOPAT")</t>
  </si>
  <si>
    <t>Plus: Depreciation</t>
  </si>
  <si>
    <t>Less: Capital Expenditures</t>
  </si>
  <si>
    <t>Less: Change in Working Capital</t>
  </si>
  <si>
    <t>Plus/Less: Change in Other Operating Assets/Liabilities</t>
  </si>
  <si>
    <t>Free Cash Flow ("FCF")</t>
  </si>
  <si>
    <t>Terminal Value Calculation</t>
  </si>
  <si>
    <t>Terminal Year EBITDA</t>
  </si>
  <si>
    <t>Terminal Value ("TV")</t>
  </si>
  <si>
    <t>Present Value of TV</t>
  </si>
  <si>
    <t>Terminal Year FCF</t>
  </si>
  <si>
    <t>Terminal Year Discount Period</t>
  </si>
  <si>
    <t>Company Value Calculation</t>
  </si>
  <si>
    <t>FCF over Projection Period</t>
  </si>
  <si>
    <t>Company Value Attribution</t>
  </si>
  <si>
    <t>% Value in Projection Period</t>
  </si>
  <si>
    <t>Depreciation &amp; Amotization</t>
  </si>
  <si>
    <t>Act</t>
  </si>
  <si>
    <t>Est</t>
  </si>
  <si>
    <t>Years from the date of valuation</t>
  </si>
  <si>
    <t>Monthly Discounted FCF @ rate&gt;</t>
  </si>
  <si>
    <t>Cumulative Discounted FCF @ rate&gt;</t>
  </si>
  <si>
    <t>Terminal cash flow</t>
  </si>
  <si>
    <t>Green = Linked</t>
  </si>
  <si>
    <t>Discount Rate Sensitivity</t>
  </si>
  <si>
    <t>Discounted cash flow Valuation</t>
  </si>
  <si>
    <t>Result</t>
  </si>
  <si>
    <t>Short Term Revenue Growth Rate</t>
  </si>
  <si>
    <t>Long Term Revenue Growth Rate (at end of valuation)</t>
  </si>
  <si>
    <t>Terminal Growth Rate</t>
  </si>
  <si>
    <t>WACC</t>
  </si>
  <si>
    <t>WACC sensitivity</t>
  </si>
  <si>
    <t>% Value in Terminal</t>
  </si>
  <si>
    <t>in $ million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</si>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</sst>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\x_);\(0.0\x\)"/>
    <numFmt numFmtId="165" formatCode="#,##0.0_);\(#,##0.0\)"/>
    <numFmt numFmtId="166" formatCode="0.0%_);\(0.0%\)"/>
    <numFmt numFmtId="167" formatCode="#,##0.00000000000000"/>
    <numFmt numFmtId="168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2"/>
      <color rgb="FF000000"/>
      <name val="Calibri"/>
      <family val="2"/>
    </font>
    <font>
      <i/>
      <sz val="12"/>
      <name val="Calibri"/>
      <family val="2"/>
    </font>
    <font>
      <b/>
      <sz val="12"/>
      <color rgb="FFFFFFFF"/>
      <name val="Calibri"/>
      <family val="2"/>
    </font>
    <font>
      <sz val="12"/>
      <color rgb="FF0000D4"/>
      <name val="Calibri"/>
      <family val="2"/>
    </font>
    <font>
      <b/>
      <sz val="12"/>
      <name val="Calibri"/>
      <family val="2"/>
    </font>
    <font>
      <sz val="12"/>
      <color rgb="FF006411"/>
      <name val="Calibri"/>
      <family val="2"/>
    </font>
    <font>
      <sz val="12"/>
      <name val="Calibri"/>
      <family val="2"/>
    </font>
    <font>
      <i/>
      <u/>
      <sz val="12"/>
      <color rgb="FF000000"/>
      <name val="Calibri"/>
      <family val="2"/>
    </font>
    <font>
      <i/>
      <sz val="12"/>
      <color rgb="FF0000D4"/>
      <name val="Calibri"/>
      <family val="2"/>
    </font>
    <font>
      <i/>
      <sz val="12"/>
      <color rgb="FF006411"/>
      <name val="Calibri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DAEEF3"/>
        <bgColor rgb="FFDAEEF3"/>
      </patternFill>
    </fill>
    <fill>
      <patternFill patternType="solid">
        <fgColor rgb="FF0070C0"/>
        <bgColor rgb="FF1F497D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/>
    <xf numFmtId="0" fontId="4" fillId="0" borderId="0" xfId="0" applyFont="1"/>
    <xf numFmtId="0" fontId="5" fillId="0" borderId="0" xfId="0" applyFont="1" applyAlignment="1"/>
    <xf numFmtId="14" fontId="7" fillId="0" borderId="0" xfId="0" applyNumberFormat="1" applyFont="1"/>
    <xf numFmtId="0" fontId="7" fillId="0" borderId="0" xfId="0" applyFont="1"/>
    <xf numFmtId="0" fontId="9" fillId="0" borderId="0" xfId="0" applyFont="1"/>
    <xf numFmtId="0" fontId="8" fillId="2" borderId="0" xfId="0" applyFont="1" applyFill="1" applyBorder="1"/>
    <xf numFmtId="10" fontId="7" fillId="0" borderId="0" xfId="0" applyNumberFormat="1" applyFont="1"/>
    <xf numFmtId="10" fontId="0" fillId="0" borderId="0" xfId="0" applyNumberFormat="1" applyFont="1"/>
    <xf numFmtId="166" fontId="12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0" fontId="9" fillId="0" borderId="0" xfId="0" applyNumberFormat="1" applyFont="1"/>
    <xf numFmtId="10" fontId="7" fillId="0" borderId="0" xfId="1" applyNumberFormat="1" applyFont="1"/>
    <xf numFmtId="0" fontId="11" fillId="0" borderId="0" xfId="0" applyFont="1" applyAlignment="1">
      <alignment horizontal="center"/>
    </xf>
    <xf numFmtId="9" fontId="7" fillId="0" borderId="0" xfId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14" fontId="10" fillId="0" borderId="1" xfId="0" applyNumberFormat="1" applyFont="1" applyBorder="1" applyAlignment="1">
      <alignment horizontal="right"/>
    </xf>
    <xf numFmtId="9" fontId="9" fillId="0" borderId="0" xfId="1" applyFont="1" applyBorder="1" applyAlignment="1">
      <alignment horizontal="right"/>
    </xf>
    <xf numFmtId="10" fontId="9" fillId="0" borderId="0" xfId="0" applyNumberFormat="1" applyFont="1" applyAlignment="1">
      <alignment horizontal="center"/>
    </xf>
    <xf numFmtId="0" fontId="6" fillId="4" borderId="0" xfId="0" applyFont="1" applyFill="1" applyBorder="1"/>
    <xf numFmtId="0" fontId="14" fillId="0" borderId="0" xfId="0" applyFont="1"/>
    <xf numFmtId="0" fontId="14" fillId="0" borderId="0" xfId="0" applyFont="1" applyAlignment="1"/>
    <xf numFmtId="0" fontId="14" fillId="0" borderId="1" xfId="0" applyFont="1" applyBorder="1"/>
    <xf numFmtId="0" fontId="14" fillId="0" borderId="0" xfId="0" applyFont="1" applyBorder="1"/>
    <xf numFmtId="165" fontId="14" fillId="0" borderId="0" xfId="0" applyNumberFormat="1" applyFont="1" applyAlignment="1">
      <alignment horizontal="right"/>
    </xf>
    <xf numFmtId="10" fontId="14" fillId="0" borderId="0" xfId="0" applyNumberFormat="1" applyFont="1"/>
    <xf numFmtId="10" fontId="14" fillId="0" borderId="0" xfId="0" applyNumberFormat="1" applyFont="1" applyBorder="1"/>
    <xf numFmtId="167" fontId="14" fillId="0" borderId="0" xfId="0" applyNumberFormat="1" applyFont="1"/>
    <xf numFmtId="168" fontId="14" fillId="0" borderId="0" xfId="0" applyNumberFormat="1" applyFont="1"/>
    <xf numFmtId="165" fontId="14" fillId="0" borderId="0" xfId="0" applyNumberFormat="1" applyFont="1"/>
    <xf numFmtId="0" fontId="14" fillId="0" borderId="0" xfId="0" applyFont="1" applyFill="1" applyBorder="1"/>
    <xf numFmtId="10" fontId="4" fillId="0" borderId="0" xfId="0" applyNumberFormat="1" applyFont="1" applyBorder="1" applyAlignment="1"/>
    <xf numFmtId="0" fontId="4" fillId="0" borderId="0" xfId="0" applyFont="1" applyBorder="1" applyAlignment="1">
      <alignment vertical="center" wrapText="1"/>
    </xf>
    <xf numFmtId="0" fontId="14" fillId="3" borderId="0" xfId="0" applyFont="1" applyFill="1" applyBorder="1"/>
    <xf numFmtId="0" fontId="14" fillId="0" borderId="2" xfId="0" applyFont="1" applyBorder="1"/>
    <xf numFmtId="0" fontId="14" fillId="0" borderId="3" xfId="0" applyFont="1" applyBorder="1"/>
    <xf numFmtId="166" fontId="14" fillId="0" borderId="0" xfId="0" applyNumberFormat="1" applyFont="1"/>
    <xf numFmtId="164" fontId="14" fillId="0" borderId="0" xfId="0" applyNumberFormat="1" applyFont="1"/>
    <xf numFmtId="0" fontId="11" fillId="0" borderId="5" xfId="0" applyFont="1" applyBorder="1" applyAlignment="1">
      <alignment horizontal="center"/>
    </xf>
    <xf numFmtId="14" fontId="9" fillId="0" borderId="9" xfId="0" applyNumberFormat="1" applyFont="1" applyBorder="1"/>
    <xf numFmtId="166" fontId="12" fillId="0" borderId="5" xfId="0" applyNumberFormat="1" applyFont="1" applyBorder="1" applyAlignment="1">
      <alignment horizontal="right"/>
    </xf>
    <xf numFmtId="0" fontId="14" fillId="0" borderId="5" xfId="0" applyFont="1" applyBorder="1"/>
    <xf numFmtId="166" fontId="5" fillId="0" borderId="5" xfId="0" applyNumberFormat="1" applyFont="1" applyBorder="1" applyAlignment="1">
      <alignment horizontal="right"/>
    </xf>
    <xf numFmtId="165" fontId="14" fillId="0" borderId="5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166" fontId="13" fillId="0" borderId="5" xfId="0" applyNumberFormat="1" applyFont="1" applyBorder="1" applyAlignment="1">
      <alignment horizontal="right"/>
    </xf>
    <xf numFmtId="9" fontId="7" fillId="0" borderId="5" xfId="1" applyFont="1" applyBorder="1" applyAlignment="1">
      <alignment horizontal="right"/>
    </xf>
    <xf numFmtId="14" fontId="14" fillId="0" borderId="0" xfId="0" applyNumberFormat="1" applyFont="1"/>
    <xf numFmtId="43" fontId="10" fillId="0" borderId="0" xfId="2" applyFont="1"/>
    <xf numFmtId="43" fontId="7" fillId="0" borderId="0" xfId="2" applyFont="1"/>
    <xf numFmtId="43" fontId="14" fillId="0" borderId="0" xfId="2" applyFont="1"/>
    <xf numFmtId="43" fontId="14" fillId="0" borderId="3" xfId="2" applyFont="1" applyBorder="1"/>
    <xf numFmtId="43" fontId="14" fillId="0" borderId="4" xfId="2" applyFont="1" applyBorder="1"/>
    <xf numFmtId="43" fontId="9" fillId="0" borderId="5" xfId="2" applyFont="1" applyBorder="1" applyAlignment="1">
      <alignment horizontal="right"/>
    </xf>
    <xf numFmtId="43" fontId="14" fillId="0" borderId="0" xfId="2" applyFont="1" applyBorder="1" applyAlignment="1">
      <alignment horizontal="right"/>
    </xf>
    <xf numFmtId="43" fontId="14" fillId="0" borderId="5" xfId="2" applyFont="1" applyBorder="1" applyAlignment="1">
      <alignment horizontal="right"/>
    </xf>
    <xf numFmtId="43" fontId="9" fillId="0" borderId="0" xfId="2" applyFont="1" applyBorder="1" applyAlignment="1">
      <alignment horizontal="right"/>
    </xf>
    <xf numFmtId="43" fontId="10" fillId="0" borderId="0" xfId="2" applyFont="1" applyBorder="1" applyAlignment="1">
      <alignment horizontal="right"/>
    </xf>
    <xf numFmtId="43" fontId="7" fillId="0" borderId="5" xfId="2" applyFont="1" applyBorder="1" applyAlignment="1">
      <alignment horizontal="right"/>
    </xf>
    <xf numFmtId="43" fontId="7" fillId="0" borderId="0" xfId="2" applyFont="1" applyBorder="1" applyAlignment="1">
      <alignment horizontal="right"/>
    </xf>
    <xf numFmtId="43" fontId="14" fillId="0" borderId="0" xfId="2" applyFont="1" applyAlignment="1">
      <alignment horizontal="right"/>
    </xf>
    <xf numFmtId="43" fontId="14" fillId="0" borderId="6" xfId="2" applyFont="1" applyBorder="1"/>
    <xf numFmtId="43" fontId="14" fillId="0" borderId="7" xfId="2" applyFont="1" applyBorder="1"/>
    <xf numFmtId="43" fontId="14" fillId="0" borderId="8" xfId="2" applyFont="1" applyBorder="1"/>
    <xf numFmtId="43" fontId="14" fillId="0" borderId="6" xfId="2" applyFont="1" applyBorder="1" applyAlignment="1">
      <alignment horizontal="right"/>
    </xf>
    <xf numFmtId="43" fontId="14" fillId="0" borderId="7" xfId="2" applyFont="1" applyBorder="1" applyAlignment="1">
      <alignment horizontal="right"/>
    </xf>
    <xf numFmtId="43" fontId="14" fillId="0" borderId="8" xfId="2" applyFont="1" applyBorder="1" applyAlignment="1">
      <alignment horizontal="right"/>
    </xf>
    <xf numFmtId="43" fontId="9" fillId="0" borderId="0" xfId="2" applyFont="1"/>
    <xf numFmtId="0" fontId="7" fillId="0" borderId="0" xfId="0" applyFont="1" applyAlignment="1">
      <alignment horizontal="right" vertical="center"/>
    </xf>
    <xf numFmtId="0" fontId="16" fillId="0" borderId="0" xfId="0" applyFont="1"/>
    <xf numFmtId="0" fontId="3" fillId="0" borderId="0" xfId="0" applyFont="1"/>
    <xf numFmtId="0" fontId="17" fillId="0" borderId="0" xfId="3" applyFont="1"/>
    <xf numFmtId="0" fontId="18" fillId="0" borderId="0" xfId="3" applyFont="1"/>
    <xf numFmtId="0" fontId="14" fillId="0" borderId="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/>
    </xf>
  </cellXfs>
  <cellStyles count="4">
    <cellStyle name="Comma" xfId="2" builtinId="3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35</xdr:row>
      <xdr:rowOff>168258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65D4C2-0627-EA4B-AE13-3BD32703D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1"/>
  <sheetViews>
    <sheetView showGridLines="0" tabSelected="1" zoomScale="110" zoomScaleNormal="110" workbookViewId="0">
      <pane xSplit="4" ySplit="23" topLeftCell="E81" activePane="bottomRight" state="frozen"/>
      <selection pane="topRight" activeCell="E1" sqref="E1"/>
      <selection pane="bottomLeft" activeCell="A24" sqref="A24"/>
      <selection pane="bottomRight" activeCell="C83" sqref="C83"/>
    </sheetView>
  </sheetViews>
  <sheetFormatPr defaultColWidth="15.42578125" defaultRowHeight="15" x14ac:dyDescent="0.25"/>
  <cols>
    <col min="1" max="2" width="3" style="7" customWidth="1"/>
    <col min="3" max="3" width="55.42578125" style="7" customWidth="1"/>
    <col min="4" max="4" width="11.7109375" style="7" bestFit="1" customWidth="1"/>
    <col min="5" max="5" width="1.7109375" style="7" customWidth="1"/>
    <col min="6" max="16" width="14.7109375" style="7" customWidth="1"/>
    <col min="17" max="17" width="15.7109375" style="7" bestFit="1" customWidth="1"/>
    <col min="18" max="26" width="12.42578125" style="7" customWidth="1"/>
    <col min="27" max="16384" width="15.42578125" style="7"/>
  </cols>
  <sheetData>
    <row r="1" spans="1:26" s="1" customFormat="1" ht="26.25" x14ac:dyDescent="0.25">
      <c r="B1" s="3"/>
      <c r="C1" s="2" t="s">
        <v>0</v>
      </c>
      <c r="D1" s="3"/>
      <c r="E1" s="3"/>
      <c r="F1" s="3"/>
      <c r="G1" s="3"/>
      <c r="H1" s="4" t="s">
        <v>47</v>
      </c>
    </row>
    <row r="2" spans="1:26" ht="15.75" customHeight="1" x14ac:dyDescent="0.25">
      <c r="A2" s="8"/>
      <c r="B2" s="8"/>
      <c r="C2" s="9"/>
      <c r="D2" s="8"/>
      <c r="E2" s="8"/>
      <c r="F2" s="8"/>
      <c r="G2" s="8"/>
      <c r="H2" s="79" t="s">
        <v>55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2" customFormat="1" ht="15.75" customHeight="1" x14ac:dyDescent="0.25">
      <c r="A4" s="31"/>
      <c r="B4" s="31"/>
      <c r="C4" s="30" t="s">
        <v>1</v>
      </c>
      <c r="D4" s="30"/>
      <c r="E4" s="31"/>
      <c r="F4" s="30" t="s">
        <v>2</v>
      </c>
      <c r="G4" s="30"/>
      <c r="H4" s="31"/>
      <c r="I4" s="30" t="s">
        <v>48</v>
      </c>
      <c r="J4" s="30"/>
      <c r="K4" s="30"/>
      <c r="L4" s="31"/>
      <c r="M4" s="31"/>
      <c r="N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s="32" customFormat="1" ht="15.75" customHeight="1" x14ac:dyDescent="0.25">
      <c r="A5" s="31"/>
      <c r="B5" s="31"/>
      <c r="C5" s="31" t="s">
        <v>3</v>
      </c>
      <c r="D5" s="10">
        <v>43830</v>
      </c>
      <c r="E5" s="58"/>
      <c r="F5" s="11" t="s">
        <v>4</v>
      </c>
      <c r="G5" s="31"/>
      <c r="H5" s="31"/>
      <c r="I5" s="31" t="s">
        <v>12</v>
      </c>
      <c r="J5" s="31" t="str">
        <f>H2</f>
        <v>in $ million</v>
      </c>
      <c r="K5" s="59">
        <f>G78</f>
        <v>67.309547597449551</v>
      </c>
      <c r="L5" s="31"/>
      <c r="M5" s="31"/>
      <c r="N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s="32" customFormat="1" ht="15.75" customHeight="1" x14ac:dyDescent="0.25">
      <c r="A6" s="31"/>
      <c r="B6" s="31"/>
      <c r="C6" s="13" t="str">
        <f>"Operating Inputs "&amp;H2</f>
        <v>Operating Inputs in $ million</v>
      </c>
      <c r="D6" s="13"/>
      <c r="E6" s="58"/>
      <c r="F6" s="12" t="s">
        <v>45</v>
      </c>
      <c r="G6" s="31"/>
      <c r="H6" s="31"/>
      <c r="I6" s="31"/>
      <c r="J6" s="31"/>
      <c r="K6" s="48"/>
      <c r="L6" s="31"/>
      <c r="M6" s="31"/>
      <c r="N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s="32" customFormat="1" ht="15.75" customHeight="1" x14ac:dyDescent="0.25">
      <c r="A7" s="31"/>
      <c r="B7" s="31"/>
      <c r="C7" s="31" t="s">
        <v>5</v>
      </c>
      <c r="D7" s="60">
        <v>50</v>
      </c>
      <c r="E7" s="31"/>
      <c r="F7" s="31" t="s">
        <v>6</v>
      </c>
      <c r="G7" s="12"/>
      <c r="H7" s="31"/>
      <c r="I7" s="31"/>
      <c r="J7" s="31"/>
      <c r="K7" s="48"/>
      <c r="L7" s="31"/>
      <c r="M7" s="31"/>
      <c r="N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s="32" customFormat="1" ht="15.75" customHeight="1" x14ac:dyDescent="0.25">
      <c r="A8" s="31"/>
      <c r="B8" s="31"/>
      <c r="C8" s="31" t="s">
        <v>7</v>
      </c>
      <c r="D8" s="60">
        <v>10</v>
      </c>
      <c r="E8" s="58"/>
      <c r="F8" s="31"/>
      <c r="G8" s="31"/>
      <c r="H8" s="31"/>
      <c r="I8" s="31"/>
      <c r="J8" s="31"/>
      <c r="K8" s="31"/>
      <c r="L8" s="31"/>
      <c r="M8" s="31"/>
      <c r="N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6" s="32" customFormat="1" ht="15.75" customHeight="1" x14ac:dyDescent="0.25">
      <c r="A9" s="31"/>
      <c r="B9" s="31"/>
      <c r="C9" s="31" t="s">
        <v>38</v>
      </c>
      <c r="D9" s="60">
        <v>5</v>
      </c>
      <c r="E9" s="58"/>
      <c r="F9" s="31"/>
      <c r="G9" s="31"/>
      <c r="H9" s="31"/>
      <c r="I9" s="31"/>
      <c r="J9" s="31"/>
      <c r="K9" s="31"/>
      <c r="L9" s="31"/>
      <c r="M9" s="31"/>
      <c r="N9" s="31"/>
      <c r="O9" s="1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s="32" customFormat="1" ht="15.75" customHeight="1" x14ac:dyDescent="0.25">
      <c r="A10" s="31"/>
      <c r="B10" s="31"/>
      <c r="C10" s="31" t="s">
        <v>9</v>
      </c>
      <c r="D10" s="60">
        <v>3.5</v>
      </c>
      <c r="E10" s="58"/>
      <c r="F10" s="31"/>
      <c r="G10" s="31"/>
      <c r="H10" s="31"/>
      <c r="I10" s="31"/>
      <c r="J10" s="31"/>
      <c r="K10" s="31"/>
      <c r="L10" s="31"/>
      <c r="M10" s="31"/>
      <c r="N10" s="31"/>
      <c r="O10" s="1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1:26" s="32" customFormat="1" ht="15.75" customHeight="1" x14ac:dyDescent="0.25">
      <c r="A11" s="31"/>
      <c r="B11" s="31"/>
      <c r="C11" s="31" t="s">
        <v>10</v>
      </c>
      <c r="D11" s="60">
        <v>0.5</v>
      </c>
      <c r="E11" s="58"/>
      <c r="F11" s="31"/>
      <c r="G11" s="31"/>
      <c r="H11" s="31"/>
      <c r="I11" s="31"/>
      <c r="J11" s="31"/>
      <c r="K11" s="31"/>
      <c r="L11" s="31"/>
      <c r="M11" s="31"/>
      <c r="N11" s="31"/>
      <c r="O11" s="1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1:26" s="32" customFormat="1" ht="15.75" customHeight="1" x14ac:dyDescent="0.25">
      <c r="A12" s="31"/>
      <c r="B12" s="31"/>
      <c r="C12" s="13" t="s">
        <v>11</v>
      </c>
      <c r="D12" s="13"/>
      <c r="E12" s="58"/>
      <c r="F12" s="31"/>
      <c r="G12" s="31"/>
      <c r="H12" s="31"/>
      <c r="I12" s="31"/>
      <c r="J12" s="31"/>
      <c r="K12" s="31"/>
      <c r="L12" s="31"/>
      <c r="M12" s="31"/>
      <c r="N12" s="31"/>
      <c r="O12" s="1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6" s="32" customFormat="1" ht="15.75" customHeight="1" x14ac:dyDescent="0.25">
      <c r="A13" s="31"/>
      <c r="B13" s="31"/>
      <c r="C13" s="31" t="s">
        <v>13</v>
      </c>
      <c r="D13" s="14">
        <v>0.12</v>
      </c>
      <c r="E13" s="58"/>
      <c r="J13" s="31"/>
      <c r="K13" s="31"/>
      <c r="L13" s="31"/>
      <c r="M13" s="31"/>
      <c r="N13" s="31"/>
      <c r="O13" s="1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spans="1:26" s="32" customFormat="1" ht="15.75" customHeight="1" x14ac:dyDescent="0.25">
      <c r="A14" s="31"/>
      <c r="B14" s="31"/>
      <c r="C14" s="31" t="s">
        <v>46</v>
      </c>
      <c r="D14" s="19">
        <v>0.01</v>
      </c>
      <c r="E14" s="58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s="32" customFormat="1" ht="15.75" customHeight="1" x14ac:dyDescent="0.25">
      <c r="A15" s="31"/>
      <c r="B15" s="31"/>
      <c r="C15" s="31" t="s">
        <v>14</v>
      </c>
      <c r="D15" s="14">
        <v>0.25</v>
      </c>
      <c r="E15" s="36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1:26" s="32" customFormat="1" ht="15.75" customHeight="1" x14ac:dyDescent="0.25">
      <c r="A16" s="31"/>
      <c r="B16" s="31"/>
      <c r="C16" s="31" t="s">
        <v>49</v>
      </c>
      <c r="D16" s="14">
        <v>0.06</v>
      </c>
      <c r="E16" s="36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spans="1:26" s="32" customFormat="1" ht="15.75" customHeight="1" x14ac:dyDescent="0.25">
      <c r="A17" s="31"/>
      <c r="B17" s="31"/>
      <c r="C17" s="31" t="s">
        <v>50</v>
      </c>
      <c r="D17" s="14">
        <v>0.03</v>
      </c>
      <c r="E17" s="36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15.75" customHeight="1" x14ac:dyDescent="0.25">
      <c r="A18" s="6"/>
      <c r="B18" s="6"/>
      <c r="E18" s="1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s="32" customFormat="1" ht="15.75" customHeight="1" x14ac:dyDescent="0.25">
      <c r="A20" s="31"/>
      <c r="B20" s="31"/>
      <c r="C20" s="30" t="str">
        <f>"Free cash flow projection"&amp;" "&amp;H2</f>
        <v>Free cash flow projection in $ million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1:26" s="32" customFormat="1" ht="7.5" customHeight="1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s="32" customFormat="1" ht="18" customHeight="1" x14ac:dyDescent="0.25">
      <c r="A22" s="31"/>
      <c r="B22" s="31"/>
      <c r="C22" s="31"/>
      <c r="D22" s="31"/>
      <c r="E22" s="31"/>
      <c r="F22" s="49" t="s">
        <v>39</v>
      </c>
      <c r="G22" s="20" t="s">
        <v>40</v>
      </c>
      <c r="H22" s="20" t="s">
        <v>40</v>
      </c>
      <c r="I22" s="20" t="s">
        <v>40</v>
      </c>
      <c r="J22" s="20" t="s">
        <v>40</v>
      </c>
      <c r="K22" s="20" t="s">
        <v>40</v>
      </c>
      <c r="L22" s="20" t="s">
        <v>40</v>
      </c>
      <c r="M22" s="20" t="s">
        <v>40</v>
      </c>
      <c r="N22" s="20" t="s">
        <v>40</v>
      </c>
      <c r="O22" s="20" t="s">
        <v>40</v>
      </c>
      <c r="P22" s="20" t="s">
        <v>40</v>
      </c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s="32" customFormat="1" ht="15.75" customHeight="1" x14ac:dyDescent="0.25">
      <c r="A23" s="31"/>
      <c r="B23" s="31"/>
      <c r="C23" s="33"/>
      <c r="D23" s="33"/>
      <c r="E23" s="33"/>
      <c r="F23" s="50">
        <f>D5</f>
        <v>43830</v>
      </c>
      <c r="G23" s="27">
        <f>DATE(YEAR(F23)+1,MONTH(F23),DAY(F23))</f>
        <v>44196</v>
      </c>
      <c r="H23" s="27">
        <f t="shared" ref="H23:P23" si="0">DATE(YEAR(G23)+1,MONTH(G23),DAY(G23))</f>
        <v>44561</v>
      </c>
      <c r="I23" s="27">
        <f t="shared" si="0"/>
        <v>44926</v>
      </c>
      <c r="J23" s="27">
        <f t="shared" si="0"/>
        <v>45291</v>
      </c>
      <c r="K23" s="27">
        <f t="shared" si="0"/>
        <v>45657</v>
      </c>
      <c r="L23" s="27">
        <f t="shared" si="0"/>
        <v>46022</v>
      </c>
      <c r="M23" s="27">
        <f t="shared" si="0"/>
        <v>46387</v>
      </c>
      <c r="N23" s="27">
        <f t="shared" si="0"/>
        <v>46752</v>
      </c>
      <c r="O23" s="27">
        <f t="shared" si="0"/>
        <v>47118</v>
      </c>
      <c r="P23" s="27">
        <f t="shared" si="0"/>
        <v>47483</v>
      </c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1:26" s="32" customFormat="1" ht="15.75" customHeight="1" x14ac:dyDescent="0.25">
      <c r="A24" s="31"/>
      <c r="B24" s="31"/>
      <c r="C24" s="34" t="s">
        <v>5</v>
      </c>
      <c r="D24" s="34"/>
      <c r="E24" s="34"/>
      <c r="F24" s="64">
        <f>D7</f>
        <v>50</v>
      </c>
      <c r="G24" s="65">
        <f t="shared" ref="G24:P24" si="1">(G25+1)*F24</f>
        <v>53</v>
      </c>
      <c r="H24" s="65">
        <f t="shared" si="1"/>
        <v>56.00333333333333</v>
      </c>
      <c r="I24" s="65">
        <f t="shared" si="1"/>
        <v>58.990177777777767</v>
      </c>
      <c r="J24" s="65">
        <f t="shared" si="1"/>
        <v>61.93968666666666</v>
      </c>
      <c r="K24" s="65">
        <f t="shared" si="1"/>
        <v>64.830205377777773</v>
      </c>
      <c r="L24" s="65">
        <f t="shared" si="1"/>
        <v>67.639514277481467</v>
      </c>
      <c r="M24" s="65">
        <f t="shared" si="1"/>
        <v>70.345094848580729</v>
      </c>
      <c r="N24" s="65">
        <f t="shared" si="1"/>
        <v>72.924414993028691</v>
      </c>
      <c r="O24" s="65">
        <f t="shared" si="1"/>
        <v>75.355228826129633</v>
      </c>
      <c r="P24" s="65">
        <f t="shared" si="1"/>
        <v>77.61588569091353</v>
      </c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1:26" s="32" customFormat="1" ht="15.75" customHeight="1" x14ac:dyDescent="0.25">
      <c r="A25" s="8"/>
      <c r="B25" s="8"/>
      <c r="C25" s="22" t="s">
        <v>15</v>
      </c>
      <c r="D25" s="23"/>
      <c r="E25" s="23"/>
      <c r="F25" s="51" t="s">
        <v>16</v>
      </c>
      <c r="G25" s="26">
        <f>D16</f>
        <v>0.06</v>
      </c>
      <c r="H25" s="24">
        <f t="shared" ref="H25:P25" si="2">G25-($D$16-$D$17)/9</f>
        <v>5.6666666666666664E-2</v>
      </c>
      <c r="I25" s="24">
        <f t="shared" si="2"/>
        <v>5.333333333333333E-2</v>
      </c>
      <c r="J25" s="24">
        <f t="shared" si="2"/>
        <v>4.9999999999999996E-2</v>
      </c>
      <c r="K25" s="24">
        <f t="shared" si="2"/>
        <v>4.6666666666666662E-2</v>
      </c>
      <c r="L25" s="24">
        <f t="shared" si="2"/>
        <v>4.3333333333333328E-2</v>
      </c>
      <c r="M25" s="24">
        <f t="shared" si="2"/>
        <v>3.9999999999999994E-2</v>
      </c>
      <c r="N25" s="24">
        <f t="shared" si="2"/>
        <v>3.666666666666666E-2</v>
      </c>
      <c r="O25" s="24">
        <f t="shared" si="2"/>
        <v>3.3333333333333326E-2</v>
      </c>
      <c r="P25" s="24">
        <f t="shared" si="2"/>
        <v>2.9999999999999992E-2</v>
      </c>
      <c r="Q25" s="31"/>
      <c r="R25" s="8"/>
      <c r="S25" s="8"/>
      <c r="T25" s="8"/>
      <c r="U25" s="8"/>
      <c r="V25" s="8"/>
      <c r="W25" s="8"/>
      <c r="X25" s="8"/>
      <c r="Y25" s="8"/>
      <c r="Z25" s="8"/>
    </row>
    <row r="26" spans="1:26" s="32" customFormat="1" ht="7.5" customHeight="1" x14ac:dyDescent="0.25">
      <c r="A26" s="31"/>
      <c r="B26" s="31"/>
      <c r="C26" s="31"/>
      <c r="D26" s="31"/>
      <c r="E26" s="31"/>
      <c r="F26" s="52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s="32" customFormat="1" ht="15.75" customHeight="1" x14ac:dyDescent="0.25">
      <c r="A27" s="31"/>
      <c r="B27" s="31"/>
      <c r="C27" s="34" t="s">
        <v>17</v>
      </c>
      <c r="D27" s="34"/>
      <c r="E27" s="34"/>
      <c r="F27" s="64">
        <f>D8</f>
        <v>10</v>
      </c>
      <c r="G27" s="65">
        <f t="shared" ref="G27:P27" si="3">G28*G24</f>
        <v>10.600000000000001</v>
      </c>
      <c r="H27" s="65">
        <f t="shared" si="3"/>
        <v>11.200666666666667</v>
      </c>
      <c r="I27" s="65">
        <f t="shared" si="3"/>
        <v>11.798035555555554</v>
      </c>
      <c r="J27" s="65">
        <f t="shared" si="3"/>
        <v>12.387937333333333</v>
      </c>
      <c r="K27" s="65">
        <f t="shared" si="3"/>
        <v>12.966041075555555</v>
      </c>
      <c r="L27" s="65">
        <f t="shared" si="3"/>
        <v>13.527902855496293</v>
      </c>
      <c r="M27" s="65">
        <f t="shared" si="3"/>
        <v>14.069018969716147</v>
      </c>
      <c r="N27" s="65">
        <f t="shared" si="3"/>
        <v>14.584882998605739</v>
      </c>
      <c r="O27" s="65">
        <f t="shared" si="3"/>
        <v>15.071045765225927</v>
      </c>
      <c r="P27" s="65">
        <f t="shared" si="3"/>
        <v>15.523177138182707</v>
      </c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s="32" customFormat="1" ht="15.75" customHeight="1" x14ac:dyDescent="0.25">
      <c r="A28" s="8"/>
      <c r="B28" s="8"/>
      <c r="C28" s="22" t="s">
        <v>18</v>
      </c>
      <c r="D28" s="23"/>
      <c r="E28" s="23"/>
      <c r="F28" s="53">
        <f>F27/F24</f>
        <v>0.2</v>
      </c>
      <c r="G28" s="25">
        <f t="shared" ref="G28:P28" si="4">F28</f>
        <v>0.2</v>
      </c>
      <c r="H28" s="25">
        <f t="shared" si="4"/>
        <v>0.2</v>
      </c>
      <c r="I28" s="25">
        <f t="shared" si="4"/>
        <v>0.2</v>
      </c>
      <c r="J28" s="25">
        <f t="shared" si="4"/>
        <v>0.2</v>
      </c>
      <c r="K28" s="25">
        <f t="shared" si="4"/>
        <v>0.2</v>
      </c>
      <c r="L28" s="25">
        <f t="shared" si="4"/>
        <v>0.2</v>
      </c>
      <c r="M28" s="25">
        <f t="shared" si="4"/>
        <v>0.2</v>
      </c>
      <c r="N28" s="25">
        <f t="shared" si="4"/>
        <v>0.2</v>
      </c>
      <c r="O28" s="25">
        <f t="shared" si="4"/>
        <v>0.2</v>
      </c>
      <c r="P28" s="25">
        <f t="shared" si="4"/>
        <v>0.2</v>
      </c>
      <c r="Q28" s="31"/>
      <c r="R28" s="8"/>
      <c r="S28" s="8"/>
      <c r="T28" s="8"/>
      <c r="U28" s="8"/>
      <c r="V28" s="8"/>
      <c r="W28" s="8"/>
      <c r="X28" s="8"/>
      <c r="Y28" s="8"/>
      <c r="Z28" s="8"/>
    </row>
    <row r="29" spans="1:26" s="32" customFormat="1" ht="15.75" customHeight="1" x14ac:dyDescent="0.25">
      <c r="A29" s="31"/>
      <c r="B29" s="31"/>
      <c r="C29" s="34" t="s">
        <v>8</v>
      </c>
      <c r="D29" s="34"/>
      <c r="E29" s="34"/>
      <c r="F29" s="64">
        <f>D9</f>
        <v>5</v>
      </c>
      <c r="G29" s="65">
        <f>G30*G24</f>
        <v>5.3000000000000007</v>
      </c>
      <c r="H29" s="65">
        <f t="shared" ref="H29:P29" si="5">H30*H24</f>
        <v>5.6003333333333334</v>
      </c>
      <c r="I29" s="65">
        <f t="shared" si="5"/>
        <v>5.899017777777777</v>
      </c>
      <c r="J29" s="65">
        <f t="shared" si="5"/>
        <v>6.1939686666666667</v>
      </c>
      <c r="K29" s="65">
        <f t="shared" si="5"/>
        <v>6.4830205377777776</v>
      </c>
      <c r="L29" s="65">
        <f t="shared" si="5"/>
        <v>6.7639514277481467</v>
      </c>
      <c r="M29" s="65">
        <f t="shared" si="5"/>
        <v>7.0345094848580736</v>
      </c>
      <c r="N29" s="65">
        <f t="shared" si="5"/>
        <v>7.2924414993028694</v>
      </c>
      <c r="O29" s="65">
        <f t="shared" si="5"/>
        <v>7.5355228826129634</v>
      </c>
      <c r="P29" s="65">
        <f t="shared" si="5"/>
        <v>7.7615885690913533</v>
      </c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spans="1:26" s="32" customFormat="1" ht="15.75" customHeight="1" x14ac:dyDescent="0.25">
      <c r="A30" s="8"/>
      <c r="B30" s="8"/>
      <c r="C30" s="22" t="s">
        <v>18</v>
      </c>
      <c r="D30" s="23"/>
      <c r="E30" s="23"/>
      <c r="F30" s="53">
        <f>F29/F24</f>
        <v>0.1</v>
      </c>
      <c r="G30" s="25">
        <f t="shared" ref="G30:P30" si="6">F30</f>
        <v>0.1</v>
      </c>
      <c r="H30" s="25">
        <f t="shared" si="6"/>
        <v>0.1</v>
      </c>
      <c r="I30" s="25">
        <f t="shared" si="6"/>
        <v>0.1</v>
      </c>
      <c r="J30" s="25">
        <f t="shared" si="6"/>
        <v>0.1</v>
      </c>
      <c r="K30" s="25">
        <f t="shared" si="6"/>
        <v>0.1</v>
      </c>
      <c r="L30" s="25">
        <f t="shared" si="6"/>
        <v>0.1</v>
      </c>
      <c r="M30" s="25">
        <f t="shared" si="6"/>
        <v>0.1</v>
      </c>
      <c r="N30" s="25">
        <f t="shared" si="6"/>
        <v>0.1</v>
      </c>
      <c r="O30" s="25">
        <f t="shared" si="6"/>
        <v>0.1</v>
      </c>
      <c r="P30" s="25">
        <f t="shared" si="6"/>
        <v>0.1</v>
      </c>
      <c r="Q30" s="31"/>
      <c r="R30" s="8"/>
      <c r="S30" s="8"/>
      <c r="T30" s="8"/>
      <c r="U30" s="8"/>
      <c r="V30" s="8"/>
      <c r="W30" s="8"/>
      <c r="X30" s="8"/>
      <c r="Y30" s="8"/>
      <c r="Z30" s="8"/>
    </row>
    <row r="31" spans="1:26" s="32" customFormat="1" ht="15.75" customHeight="1" x14ac:dyDescent="0.25">
      <c r="A31" s="31"/>
      <c r="B31" s="31"/>
      <c r="C31" s="34" t="s">
        <v>19</v>
      </c>
      <c r="D31" s="34"/>
      <c r="E31" s="34"/>
      <c r="F31" s="66">
        <f>F27-F29</f>
        <v>5</v>
      </c>
      <c r="G31" s="65">
        <f t="shared" ref="G31:P31" si="7">G27-G29</f>
        <v>5.3000000000000007</v>
      </c>
      <c r="H31" s="65">
        <f t="shared" si="7"/>
        <v>5.6003333333333334</v>
      </c>
      <c r="I31" s="65">
        <f t="shared" si="7"/>
        <v>5.899017777777777</v>
      </c>
      <c r="J31" s="65">
        <f t="shared" si="7"/>
        <v>6.1939686666666667</v>
      </c>
      <c r="K31" s="65">
        <f t="shared" si="7"/>
        <v>6.4830205377777776</v>
      </c>
      <c r="L31" s="65">
        <f t="shared" si="7"/>
        <v>6.7639514277481467</v>
      </c>
      <c r="M31" s="65">
        <f t="shared" si="7"/>
        <v>7.0345094848580736</v>
      </c>
      <c r="N31" s="65">
        <f t="shared" si="7"/>
        <v>7.2924414993028694</v>
      </c>
      <c r="O31" s="65">
        <f t="shared" si="7"/>
        <v>7.5355228826129634</v>
      </c>
      <c r="P31" s="65">
        <f t="shared" si="7"/>
        <v>7.7615885690913533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6" s="32" customFormat="1" ht="15.75" customHeight="1" x14ac:dyDescent="0.25">
      <c r="A32" s="8"/>
      <c r="B32" s="8"/>
      <c r="C32" s="22" t="s">
        <v>18</v>
      </c>
      <c r="D32" s="23"/>
      <c r="E32" s="23"/>
      <c r="F32" s="55">
        <f t="shared" ref="F32:P32" si="8">F31/F24</f>
        <v>0.1</v>
      </c>
      <c r="G32" s="25">
        <f t="shared" si="8"/>
        <v>0.10000000000000002</v>
      </c>
      <c r="H32" s="25">
        <f t="shared" si="8"/>
        <v>0.1</v>
      </c>
      <c r="I32" s="25">
        <f t="shared" si="8"/>
        <v>0.1</v>
      </c>
      <c r="J32" s="25">
        <f t="shared" si="8"/>
        <v>0.1</v>
      </c>
      <c r="K32" s="25">
        <f t="shared" si="8"/>
        <v>0.1</v>
      </c>
      <c r="L32" s="25">
        <f t="shared" si="8"/>
        <v>0.1</v>
      </c>
      <c r="M32" s="25">
        <f t="shared" si="8"/>
        <v>0.1</v>
      </c>
      <c r="N32" s="25">
        <f t="shared" si="8"/>
        <v>0.1</v>
      </c>
      <c r="O32" s="25">
        <f t="shared" si="8"/>
        <v>0.1</v>
      </c>
      <c r="P32" s="25">
        <f t="shared" si="8"/>
        <v>0.1</v>
      </c>
      <c r="Q32" s="31"/>
      <c r="R32" s="8"/>
      <c r="S32" s="8"/>
      <c r="T32" s="8"/>
      <c r="U32" s="8"/>
      <c r="V32" s="8"/>
      <c r="W32" s="8"/>
      <c r="X32" s="8"/>
      <c r="Y32" s="8"/>
      <c r="Z32" s="8"/>
    </row>
    <row r="33" spans="1:26" s="32" customFormat="1" ht="7.5" customHeight="1" x14ac:dyDescent="0.25">
      <c r="A33" s="31"/>
      <c r="B33" s="31"/>
      <c r="C33" s="31"/>
      <c r="D33" s="31"/>
      <c r="E33" s="31"/>
      <c r="F33" s="52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26" s="32" customFormat="1" ht="15.75" customHeight="1" x14ac:dyDescent="0.25">
      <c r="A34" s="31"/>
      <c r="B34" s="31"/>
      <c r="C34" s="34" t="s">
        <v>20</v>
      </c>
      <c r="D34" s="34"/>
      <c r="E34" s="34"/>
      <c r="F34" s="66">
        <f t="shared" ref="F34:P34" si="9">F35*F31</f>
        <v>1.25</v>
      </c>
      <c r="G34" s="65">
        <f>G35*G31</f>
        <v>1.3250000000000002</v>
      </c>
      <c r="H34" s="65">
        <f t="shared" si="9"/>
        <v>1.4000833333333333</v>
      </c>
      <c r="I34" s="65">
        <f t="shared" si="9"/>
        <v>1.4747544444444443</v>
      </c>
      <c r="J34" s="65">
        <f t="shared" si="9"/>
        <v>1.5484921666666667</v>
      </c>
      <c r="K34" s="65">
        <f t="shared" si="9"/>
        <v>1.6207551344444444</v>
      </c>
      <c r="L34" s="65">
        <f t="shared" si="9"/>
        <v>1.6909878569370367</v>
      </c>
      <c r="M34" s="65">
        <f t="shared" si="9"/>
        <v>1.7586273712145184</v>
      </c>
      <c r="N34" s="65">
        <f t="shared" si="9"/>
        <v>1.8231103748257174</v>
      </c>
      <c r="O34" s="65">
        <f t="shared" si="9"/>
        <v>1.8838807206532409</v>
      </c>
      <c r="P34" s="65">
        <f t="shared" si="9"/>
        <v>1.9403971422728383</v>
      </c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 s="32" customFormat="1" ht="15.75" customHeight="1" x14ac:dyDescent="0.25">
      <c r="A35" s="8"/>
      <c r="B35" s="8"/>
      <c r="C35" s="22" t="s">
        <v>21</v>
      </c>
      <c r="D35" s="23"/>
      <c r="E35" s="23"/>
      <c r="F35" s="56">
        <f>D15</f>
        <v>0.25</v>
      </c>
      <c r="G35" s="25">
        <f>F35</f>
        <v>0.25</v>
      </c>
      <c r="H35" s="25">
        <f t="shared" ref="H35:P35" si="10">G35</f>
        <v>0.25</v>
      </c>
      <c r="I35" s="25">
        <f t="shared" si="10"/>
        <v>0.25</v>
      </c>
      <c r="J35" s="25">
        <f t="shared" si="10"/>
        <v>0.25</v>
      </c>
      <c r="K35" s="25">
        <f t="shared" si="10"/>
        <v>0.25</v>
      </c>
      <c r="L35" s="25">
        <f t="shared" si="10"/>
        <v>0.25</v>
      </c>
      <c r="M35" s="25">
        <f t="shared" si="10"/>
        <v>0.25</v>
      </c>
      <c r="N35" s="25">
        <f t="shared" si="10"/>
        <v>0.25</v>
      </c>
      <c r="O35" s="25">
        <f t="shared" si="10"/>
        <v>0.25</v>
      </c>
      <c r="P35" s="25">
        <f t="shared" si="10"/>
        <v>0.25</v>
      </c>
      <c r="Q35" s="31"/>
      <c r="R35" s="8"/>
      <c r="S35" s="8"/>
      <c r="T35" s="8"/>
      <c r="U35" s="8"/>
      <c r="V35" s="8"/>
      <c r="W35" s="8"/>
      <c r="X35" s="8"/>
      <c r="Y35" s="8"/>
      <c r="Z35" s="8"/>
    </row>
    <row r="36" spans="1:26" s="32" customFormat="1" ht="15.75" customHeight="1" x14ac:dyDescent="0.25">
      <c r="A36" s="31"/>
      <c r="B36" s="31"/>
      <c r="C36" s="34" t="s">
        <v>22</v>
      </c>
      <c r="D36" s="34"/>
      <c r="E36" s="34"/>
      <c r="F36" s="66">
        <f t="shared" ref="F36:P36" si="11">F31-F34</f>
        <v>3.75</v>
      </c>
      <c r="G36" s="65">
        <f t="shared" si="11"/>
        <v>3.9750000000000005</v>
      </c>
      <c r="H36" s="65">
        <f t="shared" si="11"/>
        <v>4.2002500000000005</v>
      </c>
      <c r="I36" s="65">
        <f t="shared" si="11"/>
        <v>4.4242633333333323</v>
      </c>
      <c r="J36" s="65">
        <f t="shared" si="11"/>
        <v>4.6454765</v>
      </c>
      <c r="K36" s="65">
        <f t="shared" si="11"/>
        <v>4.8622654033333337</v>
      </c>
      <c r="L36" s="65">
        <f t="shared" si="11"/>
        <v>5.07296357081111</v>
      </c>
      <c r="M36" s="65">
        <f t="shared" si="11"/>
        <v>5.2758821136435552</v>
      </c>
      <c r="N36" s="65">
        <f t="shared" si="11"/>
        <v>5.4693311244771525</v>
      </c>
      <c r="O36" s="65">
        <f t="shared" si="11"/>
        <v>5.6516421619597228</v>
      </c>
      <c r="P36" s="65">
        <f t="shared" si="11"/>
        <v>5.8211914268185154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1:26" s="32" customFormat="1" ht="15.75" customHeight="1" x14ac:dyDescent="0.25">
      <c r="A37" s="8"/>
      <c r="B37" s="8"/>
      <c r="C37" s="22" t="s">
        <v>18</v>
      </c>
      <c r="D37" s="23"/>
      <c r="E37" s="23"/>
      <c r="F37" s="55">
        <f t="shared" ref="F37:P37" si="12">F36/F24</f>
        <v>7.4999999999999997E-2</v>
      </c>
      <c r="G37" s="25">
        <f t="shared" si="12"/>
        <v>7.5000000000000011E-2</v>
      </c>
      <c r="H37" s="25">
        <f t="shared" si="12"/>
        <v>7.5000000000000011E-2</v>
      </c>
      <c r="I37" s="25">
        <f t="shared" si="12"/>
        <v>7.4999999999999997E-2</v>
      </c>
      <c r="J37" s="25">
        <f t="shared" si="12"/>
        <v>7.5000000000000011E-2</v>
      </c>
      <c r="K37" s="25">
        <f t="shared" si="12"/>
        <v>7.5000000000000011E-2</v>
      </c>
      <c r="L37" s="25">
        <f t="shared" si="12"/>
        <v>7.4999999999999997E-2</v>
      </c>
      <c r="M37" s="25">
        <f t="shared" si="12"/>
        <v>7.5000000000000011E-2</v>
      </c>
      <c r="N37" s="25">
        <f t="shared" si="12"/>
        <v>7.5000000000000011E-2</v>
      </c>
      <c r="O37" s="25">
        <f t="shared" si="12"/>
        <v>7.5000000000000011E-2</v>
      </c>
      <c r="P37" s="25">
        <f t="shared" si="12"/>
        <v>7.5000000000000011E-2</v>
      </c>
      <c r="Q37" s="31"/>
      <c r="R37" s="8"/>
      <c r="S37" s="8"/>
      <c r="T37" s="8"/>
      <c r="U37" s="8"/>
      <c r="V37" s="8"/>
      <c r="W37" s="8"/>
      <c r="X37" s="8"/>
      <c r="Y37" s="8"/>
      <c r="Z37" s="8"/>
    </row>
    <row r="38" spans="1:26" s="32" customFormat="1" ht="7.5" customHeight="1" x14ac:dyDescent="0.25">
      <c r="A38" s="31"/>
      <c r="B38" s="31"/>
      <c r="C38" s="31"/>
      <c r="D38" s="31"/>
      <c r="E38" s="31"/>
      <c r="F38" s="52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 s="32" customFormat="1" ht="15.75" customHeight="1" x14ac:dyDescent="0.25">
      <c r="A39" s="31"/>
      <c r="B39" s="31"/>
      <c r="C39" s="34" t="s">
        <v>23</v>
      </c>
      <c r="D39" s="34"/>
      <c r="E39" s="34"/>
      <c r="F39" s="64">
        <f t="shared" ref="F39:P39" si="13">F29</f>
        <v>5</v>
      </c>
      <c r="G39" s="67">
        <f t="shared" si="13"/>
        <v>5.3000000000000007</v>
      </c>
      <c r="H39" s="67">
        <f t="shared" si="13"/>
        <v>5.6003333333333334</v>
      </c>
      <c r="I39" s="67">
        <f t="shared" si="13"/>
        <v>5.899017777777777</v>
      </c>
      <c r="J39" s="67">
        <f t="shared" si="13"/>
        <v>6.1939686666666667</v>
      </c>
      <c r="K39" s="67">
        <f t="shared" si="13"/>
        <v>6.4830205377777776</v>
      </c>
      <c r="L39" s="67">
        <f t="shared" si="13"/>
        <v>6.7639514277481467</v>
      </c>
      <c r="M39" s="67">
        <f t="shared" si="13"/>
        <v>7.0345094848580736</v>
      </c>
      <c r="N39" s="67">
        <f t="shared" si="13"/>
        <v>7.2924414993028694</v>
      </c>
      <c r="O39" s="67">
        <f t="shared" si="13"/>
        <v>7.5355228826129634</v>
      </c>
      <c r="P39" s="67">
        <f t="shared" si="13"/>
        <v>7.7615885690913533</v>
      </c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 s="32" customFormat="1" ht="15.75" customHeight="1" x14ac:dyDescent="0.25">
      <c r="A40" s="8"/>
      <c r="B40" s="8"/>
      <c r="C40" s="22" t="s">
        <v>18</v>
      </c>
      <c r="D40" s="23"/>
      <c r="E40" s="23"/>
      <c r="F40" s="55">
        <f t="shared" ref="F40:P40" si="14">F39/F24</f>
        <v>0.1</v>
      </c>
      <c r="G40" s="25">
        <f t="shared" si="14"/>
        <v>0.10000000000000002</v>
      </c>
      <c r="H40" s="25">
        <f t="shared" si="14"/>
        <v>0.1</v>
      </c>
      <c r="I40" s="25">
        <f t="shared" si="14"/>
        <v>0.1</v>
      </c>
      <c r="J40" s="25">
        <f t="shared" si="14"/>
        <v>0.1</v>
      </c>
      <c r="K40" s="25">
        <f t="shared" si="14"/>
        <v>0.1</v>
      </c>
      <c r="L40" s="25">
        <f t="shared" si="14"/>
        <v>0.1</v>
      </c>
      <c r="M40" s="25">
        <f t="shared" si="14"/>
        <v>0.1</v>
      </c>
      <c r="N40" s="25">
        <f t="shared" si="14"/>
        <v>0.1</v>
      </c>
      <c r="O40" s="25">
        <f t="shared" si="14"/>
        <v>0.1</v>
      </c>
      <c r="P40" s="25">
        <f t="shared" si="14"/>
        <v>0.1</v>
      </c>
      <c r="Q40" s="31"/>
      <c r="R40" s="8"/>
      <c r="S40" s="8"/>
      <c r="T40" s="8"/>
      <c r="U40" s="8"/>
      <c r="V40" s="8"/>
      <c r="W40" s="8"/>
      <c r="X40" s="8"/>
      <c r="Y40" s="8"/>
      <c r="Z40" s="8"/>
    </row>
    <row r="41" spans="1:26" s="32" customFormat="1" ht="15.75" customHeight="1" x14ac:dyDescent="0.25">
      <c r="A41" s="31"/>
      <c r="B41" s="31"/>
      <c r="C41" s="34" t="s">
        <v>24</v>
      </c>
      <c r="D41" s="34"/>
      <c r="E41" s="34"/>
      <c r="F41" s="64">
        <f>-D10</f>
        <v>-3.5</v>
      </c>
      <c r="G41" s="68">
        <f t="shared" ref="G41:P41" si="15">G42*G24</f>
        <v>-3.7100000000000004</v>
      </c>
      <c r="H41" s="68">
        <f t="shared" si="15"/>
        <v>-3.9202333333333335</v>
      </c>
      <c r="I41" s="68">
        <f t="shared" si="15"/>
        <v>-4.1293124444444445</v>
      </c>
      <c r="J41" s="68">
        <f t="shared" si="15"/>
        <v>-4.3357780666666663</v>
      </c>
      <c r="K41" s="68">
        <f t="shared" si="15"/>
        <v>-4.5381143764444447</v>
      </c>
      <c r="L41" s="68">
        <f t="shared" si="15"/>
        <v>-4.7347659994237032</v>
      </c>
      <c r="M41" s="68">
        <f t="shared" si="15"/>
        <v>-4.9241566394006515</v>
      </c>
      <c r="N41" s="68">
        <f t="shared" si="15"/>
        <v>-5.1047090495120084</v>
      </c>
      <c r="O41" s="68">
        <f t="shared" si="15"/>
        <v>-5.2748660178290745</v>
      </c>
      <c r="P41" s="68">
        <f t="shared" si="15"/>
        <v>-5.4331119983639473</v>
      </c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 s="32" customFormat="1" ht="15.75" customHeight="1" x14ac:dyDescent="0.25">
      <c r="A42" s="8"/>
      <c r="B42" s="8"/>
      <c r="C42" s="22" t="s">
        <v>18</v>
      </c>
      <c r="D42" s="23"/>
      <c r="E42" s="23"/>
      <c r="F42" s="53">
        <f>F41/F24</f>
        <v>-7.0000000000000007E-2</v>
      </c>
      <c r="G42" s="25">
        <f>F42</f>
        <v>-7.0000000000000007E-2</v>
      </c>
      <c r="H42" s="25">
        <f t="shared" ref="H42:P42" si="16">G42</f>
        <v>-7.0000000000000007E-2</v>
      </c>
      <c r="I42" s="25">
        <f t="shared" si="16"/>
        <v>-7.0000000000000007E-2</v>
      </c>
      <c r="J42" s="25">
        <f t="shared" si="16"/>
        <v>-7.0000000000000007E-2</v>
      </c>
      <c r="K42" s="25">
        <f t="shared" si="16"/>
        <v>-7.0000000000000007E-2</v>
      </c>
      <c r="L42" s="25">
        <f t="shared" si="16"/>
        <v>-7.0000000000000007E-2</v>
      </c>
      <c r="M42" s="25">
        <f t="shared" si="16"/>
        <v>-7.0000000000000007E-2</v>
      </c>
      <c r="N42" s="25">
        <f t="shared" si="16"/>
        <v>-7.0000000000000007E-2</v>
      </c>
      <c r="O42" s="25">
        <f t="shared" si="16"/>
        <v>-7.0000000000000007E-2</v>
      </c>
      <c r="P42" s="25">
        <f t="shared" si="16"/>
        <v>-7.0000000000000007E-2</v>
      </c>
      <c r="Q42" s="31"/>
      <c r="R42" s="8"/>
      <c r="S42" s="8"/>
      <c r="T42" s="8"/>
      <c r="U42" s="8"/>
      <c r="V42" s="8"/>
      <c r="W42" s="8"/>
      <c r="X42" s="8"/>
      <c r="Y42" s="8"/>
      <c r="Z42" s="8"/>
    </row>
    <row r="43" spans="1:26" s="32" customFormat="1" ht="15.75" customHeight="1" x14ac:dyDescent="0.25">
      <c r="A43" s="31"/>
      <c r="B43" s="31"/>
      <c r="C43" s="34" t="s">
        <v>25</v>
      </c>
      <c r="D43" s="34"/>
      <c r="E43" s="34"/>
      <c r="F43" s="69">
        <v>0</v>
      </c>
      <c r="G43" s="68">
        <f>(F44*F24)-(G44*G24)</f>
        <v>-3.0000000000000027E-2</v>
      </c>
      <c r="H43" s="68">
        <f>(G44*G24)-(H44*H24)</f>
        <v>-3.0033333333333245E-2</v>
      </c>
      <c r="I43" s="68">
        <f t="shared" ref="I43:P43" si="17">(H44*H24)-(I44*I24)</f>
        <v>-2.9868444444444364E-2</v>
      </c>
      <c r="J43" s="68">
        <f t="shared" si="17"/>
        <v>-2.9495088888888965E-2</v>
      </c>
      <c r="K43" s="68">
        <f t="shared" si="17"/>
        <v>-2.8905187111111119E-2</v>
      </c>
      <c r="L43" s="68">
        <f t="shared" si="17"/>
        <v>-2.8093088997036997E-2</v>
      </c>
      <c r="M43" s="68">
        <f t="shared" si="17"/>
        <v>-2.7055805710992531E-2</v>
      </c>
      <c r="N43" s="68">
        <f t="shared" si="17"/>
        <v>-2.5793201444479719E-2</v>
      </c>
      <c r="O43" s="68">
        <f t="shared" si="17"/>
        <v>-2.4308138331009421E-2</v>
      </c>
      <c r="P43" s="68">
        <f t="shared" si="17"/>
        <v>-2.2606568647838943E-2</v>
      </c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s="32" customFormat="1" ht="15.75" customHeight="1" x14ac:dyDescent="0.25">
      <c r="A44" s="8"/>
      <c r="B44" s="8"/>
      <c r="C44" s="22" t="s">
        <v>18</v>
      </c>
      <c r="D44" s="23"/>
      <c r="E44" s="23"/>
      <c r="F44" s="57">
        <v>0.01</v>
      </c>
      <c r="G44" s="21">
        <v>0.01</v>
      </c>
      <c r="H44" s="21">
        <v>0.01</v>
      </c>
      <c r="I44" s="21">
        <v>0.01</v>
      </c>
      <c r="J44" s="21">
        <v>0.01</v>
      </c>
      <c r="K44" s="21">
        <v>0.01</v>
      </c>
      <c r="L44" s="21">
        <v>0.01</v>
      </c>
      <c r="M44" s="21">
        <v>0.01</v>
      </c>
      <c r="N44" s="21">
        <v>0.01</v>
      </c>
      <c r="O44" s="21">
        <v>0.01</v>
      </c>
      <c r="P44" s="21">
        <v>0.01</v>
      </c>
      <c r="Q44" s="31"/>
      <c r="R44" s="8"/>
      <c r="S44" s="8"/>
      <c r="T44" s="8"/>
      <c r="U44" s="8"/>
      <c r="V44" s="8"/>
      <c r="W44" s="8"/>
      <c r="X44" s="8"/>
      <c r="Y44" s="8"/>
      <c r="Z44" s="8"/>
    </row>
    <row r="45" spans="1:26" s="32" customFormat="1" ht="15.75" customHeight="1" x14ac:dyDescent="0.25">
      <c r="A45" s="31"/>
      <c r="B45" s="31"/>
      <c r="C45" s="34" t="s">
        <v>26</v>
      </c>
      <c r="D45" s="34"/>
      <c r="E45" s="34"/>
      <c r="F45" s="69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1:26" s="32" customFormat="1" ht="15.75" customHeight="1" x14ac:dyDescent="0.25">
      <c r="A46" s="8"/>
      <c r="B46" s="8"/>
      <c r="C46" s="22" t="s">
        <v>18</v>
      </c>
      <c r="D46" s="23"/>
      <c r="E46" s="23"/>
      <c r="F46" s="55">
        <f t="shared" ref="F46:P46" si="18">F45/F24</f>
        <v>0</v>
      </c>
      <c r="G46" s="25">
        <f t="shared" si="18"/>
        <v>0</v>
      </c>
      <c r="H46" s="25">
        <f t="shared" si="18"/>
        <v>0</v>
      </c>
      <c r="I46" s="25">
        <f t="shared" si="18"/>
        <v>0</v>
      </c>
      <c r="J46" s="25">
        <f t="shared" si="18"/>
        <v>0</v>
      </c>
      <c r="K46" s="25">
        <f t="shared" si="18"/>
        <v>0</v>
      </c>
      <c r="L46" s="25">
        <f t="shared" si="18"/>
        <v>0</v>
      </c>
      <c r="M46" s="25">
        <f t="shared" si="18"/>
        <v>0</v>
      </c>
      <c r="N46" s="25">
        <f t="shared" si="18"/>
        <v>0</v>
      </c>
      <c r="O46" s="25">
        <f t="shared" si="18"/>
        <v>0</v>
      </c>
      <c r="P46" s="25">
        <f t="shared" si="18"/>
        <v>0</v>
      </c>
      <c r="Q46" s="31"/>
      <c r="R46" s="8"/>
      <c r="S46" s="8"/>
      <c r="T46" s="8"/>
      <c r="U46" s="8"/>
      <c r="V46" s="8"/>
      <c r="W46" s="8"/>
      <c r="X46" s="8"/>
      <c r="Y46" s="8"/>
      <c r="Z46" s="8"/>
    </row>
    <row r="47" spans="1:26" s="32" customFormat="1" ht="15.75" customHeight="1" x14ac:dyDescent="0.25">
      <c r="A47" s="31"/>
      <c r="B47" s="31"/>
      <c r="C47" s="34" t="s">
        <v>27</v>
      </c>
      <c r="D47" s="34"/>
      <c r="E47" s="34"/>
      <c r="F47" s="66">
        <f>F36+F39+F41+F43+F45</f>
        <v>5.25</v>
      </c>
      <c r="G47" s="65">
        <f t="shared" ref="G47:P47" si="19">G36+G39+G41+G43+G45</f>
        <v>5.535000000000001</v>
      </c>
      <c r="H47" s="65">
        <f t="shared" si="19"/>
        <v>5.8503166666666671</v>
      </c>
      <c r="I47" s="65">
        <f t="shared" si="19"/>
        <v>6.1641002222222205</v>
      </c>
      <c r="J47" s="65">
        <f t="shared" si="19"/>
        <v>6.4741720111111123</v>
      </c>
      <c r="K47" s="65">
        <f t="shared" si="19"/>
        <v>6.7782663775555552</v>
      </c>
      <c r="L47" s="65">
        <f t="shared" si="19"/>
        <v>7.074055910138517</v>
      </c>
      <c r="M47" s="65">
        <f t="shared" si="19"/>
        <v>7.3591791533899835</v>
      </c>
      <c r="N47" s="65">
        <f t="shared" si="19"/>
        <v>7.6312703728235336</v>
      </c>
      <c r="O47" s="65">
        <f t="shared" si="19"/>
        <v>7.8879908884126033</v>
      </c>
      <c r="P47" s="65">
        <f t="shared" si="19"/>
        <v>8.1270614288980827</v>
      </c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6" s="32" customFormat="1" ht="15.75" customHeight="1" x14ac:dyDescent="0.25">
      <c r="A48" s="8"/>
      <c r="B48" s="8"/>
      <c r="C48" s="22" t="s">
        <v>18</v>
      </c>
      <c r="D48" s="23"/>
      <c r="E48" s="23"/>
      <c r="F48" s="55">
        <f t="shared" ref="F48:P48" si="20">F47/F24</f>
        <v>0.105</v>
      </c>
      <c r="G48" s="25">
        <f t="shared" si="20"/>
        <v>0.10443396226415096</v>
      </c>
      <c r="H48" s="25">
        <f t="shared" si="20"/>
        <v>0.10446372239747635</v>
      </c>
      <c r="I48" s="25">
        <f t="shared" si="20"/>
        <v>0.10449367088607595</v>
      </c>
      <c r="J48" s="25">
        <f t="shared" si="20"/>
        <v>0.10452380952380956</v>
      </c>
      <c r="K48" s="25">
        <f t="shared" si="20"/>
        <v>0.10455414012738853</v>
      </c>
      <c r="L48" s="25">
        <f t="shared" si="20"/>
        <v>0.10458466453674121</v>
      </c>
      <c r="M48" s="25">
        <f t="shared" si="20"/>
        <v>0.10461538461538461</v>
      </c>
      <c r="N48" s="25">
        <f t="shared" si="20"/>
        <v>0.10464630225080387</v>
      </c>
      <c r="O48" s="25">
        <f t="shared" si="20"/>
        <v>0.10467741935483874</v>
      </c>
      <c r="P48" s="25">
        <f t="shared" si="20"/>
        <v>0.10470873786407768</v>
      </c>
      <c r="Q48" s="31"/>
      <c r="R48" s="8"/>
      <c r="S48" s="8"/>
      <c r="T48" s="8"/>
      <c r="U48" s="8"/>
      <c r="V48" s="8"/>
      <c r="W48" s="8"/>
      <c r="X48" s="8"/>
      <c r="Y48" s="8"/>
      <c r="Z48" s="8"/>
    </row>
    <row r="49" spans="1:26" s="32" customFormat="1" ht="7.5" customHeight="1" x14ac:dyDescent="0.2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1:26" s="32" customFormat="1" ht="15.75" customHeight="1" x14ac:dyDescent="0.25">
      <c r="A50" s="31"/>
      <c r="B50" s="31"/>
      <c r="C50" s="30" t="str">
        <f>"Discounted cash flow valuation"&amp;" "&amp;H2</f>
        <v>Discounted cash flow valuation in $ million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s="32" customFormat="1" ht="7.5" customHeight="1" x14ac:dyDescent="0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1:26" s="32" customFormat="1" ht="15.75" customHeight="1" x14ac:dyDescent="0.25">
      <c r="A52" s="31"/>
      <c r="B52" s="31"/>
      <c r="C52" s="31" t="s">
        <v>52</v>
      </c>
      <c r="D52" s="31"/>
      <c r="E52" s="31"/>
      <c r="F52" s="54"/>
      <c r="G52" s="28">
        <f>D13</f>
        <v>0.12</v>
      </c>
      <c r="H52" s="35"/>
      <c r="I52" s="35"/>
      <c r="J52" s="35"/>
      <c r="K52" s="35"/>
      <c r="L52" s="35"/>
      <c r="M52" s="35"/>
      <c r="N52" s="35"/>
      <c r="O52" s="35"/>
      <c r="P52" s="35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6" s="32" customFormat="1" ht="15.75" customHeight="1" x14ac:dyDescent="0.25">
      <c r="A53" s="31"/>
      <c r="B53" s="31"/>
      <c r="C53" s="31" t="s">
        <v>53</v>
      </c>
      <c r="D53" s="31"/>
      <c r="E53" s="31"/>
      <c r="F53" s="54"/>
      <c r="G53" s="28">
        <f>D14</f>
        <v>0.01</v>
      </c>
      <c r="H53" s="35"/>
      <c r="I53" s="35"/>
      <c r="J53" s="35"/>
      <c r="K53" s="35"/>
      <c r="L53" s="35"/>
      <c r="M53" s="35"/>
      <c r="N53" s="35"/>
      <c r="O53" s="35"/>
      <c r="P53" s="35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 s="32" customFormat="1" ht="15.75" customHeight="1" x14ac:dyDescent="0.25">
      <c r="A54" s="31"/>
      <c r="B54" s="31"/>
      <c r="C54" s="31" t="s">
        <v>41</v>
      </c>
      <c r="D54" s="31"/>
      <c r="E54" s="31"/>
      <c r="F54" s="54"/>
      <c r="G54" s="35">
        <f>(G23-D5)/365</f>
        <v>1.0027397260273974</v>
      </c>
      <c r="H54" s="35">
        <f t="shared" ref="H54:P54" si="21">(H23-G23)/365+G54</f>
        <v>2.0027397260273974</v>
      </c>
      <c r="I54" s="35">
        <f t="shared" si="21"/>
        <v>3.0027397260273974</v>
      </c>
      <c r="J54" s="35">
        <f t="shared" si="21"/>
        <v>4.0027397260273974</v>
      </c>
      <c r="K54" s="35">
        <f t="shared" si="21"/>
        <v>5.0054794520547947</v>
      </c>
      <c r="L54" s="35">
        <f t="shared" si="21"/>
        <v>6.0054794520547947</v>
      </c>
      <c r="M54" s="35">
        <f t="shared" si="21"/>
        <v>7.0054794520547947</v>
      </c>
      <c r="N54" s="35">
        <f t="shared" si="21"/>
        <v>8.0054794520547947</v>
      </c>
      <c r="O54" s="35">
        <f t="shared" si="21"/>
        <v>9.008219178082193</v>
      </c>
      <c r="P54" s="35">
        <f t="shared" si="21"/>
        <v>10.008219178082193</v>
      </c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26" s="32" customFormat="1" ht="7.5" customHeight="1" x14ac:dyDescent="0.25">
      <c r="A55" s="31"/>
      <c r="B55" s="31"/>
      <c r="C55" s="31"/>
      <c r="D55" s="31"/>
      <c r="E55" s="31"/>
      <c r="F55" s="52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1:26" s="32" customFormat="1" ht="15.75" customHeight="1" x14ac:dyDescent="0.25">
      <c r="A56" s="31"/>
      <c r="B56" s="31"/>
      <c r="C56" s="84" t="s">
        <v>42</v>
      </c>
      <c r="D56" s="36">
        <f>$G$52-$G$53</f>
        <v>0.11</v>
      </c>
      <c r="E56" s="31"/>
      <c r="F56" s="54"/>
      <c r="G56" s="71">
        <f t="shared" ref="G56:P58" si="22">G$47/(1+$D56)^G$54</f>
        <v>4.9850609647909625</v>
      </c>
      <c r="H56" s="71">
        <f t="shared" si="22"/>
        <v>4.7468908333806947</v>
      </c>
      <c r="I56" s="71">
        <f t="shared" si="22"/>
        <v>4.5058484692645893</v>
      </c>
      <c r="J56" s="71">
        <f t="shared" si="22"/>
        <v>4.2635184453474899</v>
      </c>
      <c r="K56" s="71">
        <f t="shared" si="22"/>
        <v>4.0202715914418912</v>
      </c>
      <c r="L56" s="71">
        <f t="shared" si="22"/>
        <v>3.7799170566908962</v>
      </c>
      <c r="M56" s="71">
        <f t="shared" si="22"/>
        <v>3.5425841810601497</v>
      </c>
      <c r="N56" s="71">
        <f t="shared" si="22"/>
        <v>3.3095173737940149</v>
      </c>
      <c r="O56" s="71">
        <f t="shared" si="22"/>
        <v>3.0809671909021881</v>
      </c>
      <c r="P56" s="71">
        <f t="shared" si="22"/>
        <v>2.8597708623670046</v>
      </c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s="32" customFormat="1" ht="15.75" customHeight="1" x14ac:dyDescent="0.25">
      <c r="A57" s="31"/>
      <c r="B57" s="31"/>
      <c r="C57" s="84"/>
      <c r="D57" s="36">
        <f>$G$52</f>
        <v>0.12</v>
      </c>
      <c r="E57" s="31"/>
      <c r="F57" s="54"/>
      <c r="G57" s="71">
        <f t="shared" si="22"/>
        <v>4.940430095640413</v>
      </c>
      <c r="H57" s="71">
        <f t="shared" si="22"/>
        <v>4.6623887806534228</v>
      </c>
      <c r="I57" s="71">
        <f t="shared" si="22"/>
        <v>4.3861227270123582</v>
      </c>
      <c r="J57" s="71">
        <f t="shared" si="22"/>
        <v>4.1131760593016038</v>
      </c>
      <c r="K57" s="71">
        <f t="shared" si="22"/>
        <v>3.8437827278462016</v>
      </c>
      <c r="L57" s="71">
        <f t="shared" si="22"/>
        <v>3.5817120180038442</v>
      </c>
      <c r="M57" s="71">
        <f t="shared" si="22"/>
        <v>3.3268523682032689</v>
      </c>
      <c r="N57" s="71">
        <f t="shared" si="22"/>
        <v>3.0802287600693283</v>
      </c>
      <c r="O57" s="71">
        <f t="shared" si="22"/>
        <v>2.8418402729914223</v>
      </c>
      <c r="P57" s="71">
        <f t="shared" si="22"/>
        <v>2.6142600365138322</v>
      </c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s="32" customFormat="1" ht="15.75" customHeight="1" x14ac:dyDescent="0.25">
      <c r="A58" s="31"/>
      <c r="B58" s="31"/>
      <c r="C58" s="85"/>
      <c r="D58" s="36">
        <f>$G$52+$G$53</f>
        <v>0.13</v>
      </c>
      <c r="E58" s="31"/>
      <c r="F58" s="54"/>
      <c r="G58" s="71">
        <f t="shared" si="22"/>
        <v>4.8965902258372305</v>
      </c>
      <c r="H58" s="71">
        <f t="shared" si="22"/>
        <v>4.5801222163149466</v>
      </c>
      <c r="I58" s="71">
        <f t="shared" si="22"/>
        <v>4.2706004399366364</v>
      </c>
      <c r="J58" s="71">
        <f t="shared" si="22"/>
        <v>3.9694015924230035</v>
      </c>
      <c r="K58" s="71">
        <f t="shared" si="22"/>
        <v>3.6765084956531342</v>
      </c>
      <c r="L58" s="71">
        <f t="shared" si="22"/>
        <v>3.3955254214779877</v>
      </c>
      <c r="M58" s="71">
        <f t="shared" si="22"/>
        <v>3.1260032876823947</v>
      </c>
      <c r="N58" s="71">
        <f t="shared" si="22"/>
        <v>2.8686558671028681</v>
      </c>
      <c r="O58" s="71">
        <f t="shared" si="22"/>
        <v>2.6231561735796802</v>
      </c>
      <c r="P58" s="71">
        <f t="shared" si="22"/>
        <v>2.3917338295642376</v>
      </c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 s="32" customFormat="1" ht="7.5" customHeight="1" thickBot="1" x14ac:dyDescent="0.3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1:26" s="32" customFormat="1" ht="15.75" customHeight="1" x14ac:dyDescent="0.25">
      <c r="A60" s="31"/>
      <c r="B60" s="31"/>
      <c r="C60" s="84" t="s">
        <v>43</v>
      </c>
      <c r="D60" s="37">
        <f>D56</f>
        <v>0.11</v>
      </c>
      <c r="E60" s="34"/>
      <c r="F60" s="72">
        <f>SUM(G56:P56)</f>
        <v>39.094346969039876</v>
      </c>
      <c r="G60" s="38"/>
      <c r="H60" s="39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1:26" s="32" customFormat="1" ht="15.75" customHeight="1" x14ac:dyDescent="0.25">
      <c r="A61" s="31"/>
      <c r="B61" s="31"/>
      <c r="C61" s="84"/>
      <c r="D61" s="37">
        <f>D57</f>
        <v>0.12</v>
      </c>
      <c r="E61" s="34"/>
      <c r="F61" s="73">
        <f>SUM(G57:P57)</f>
        <v>37.390793846235695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1:26" s="32" customFormat="1" ht="15.75" customHeight="1" thickBot="1" x14ac:dyDescent="0.3">
      <c r="A62" s="31"/>
      <c r="B62" s="31"/>
      <c r="C62" s="85"/>
      <c r="D62" s="37">
        <f>D58</f>
        <v>0.13</v>
      </c>
      <c r="E62" s="34"/>
      <c r="F62" s="74">
        <f>SUM(G58:P58)</f>
        <v>35.798297549572119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 s="32" customFormat="1" ht="15.75" customHeight="1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 s="32" customFormat="1" ht="15.75" customHeight="1" x14ac:dyDescent="0.25">
      <c r="A64" s="31"/>
      <c r="B64" s="31"/>
      <c r="C64" s="30" t="s">
        <v>28</v>
      </c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 s="32" customFormat="1" ht="7.5" customHeight="1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 s="32" customFormat="1" ht="15.75" customHeight="1" x14ac:dyDescent="0.25">
      <c r="A66" s="31"/>
      <c r="B66" s="31"/>
      <c r="C66" s="31" t="s">
        <v>29</v>
      </c>
      <c r="D66" s="78">
        <f>P27</f>
        <v>15.523177138182707</v>
      </c>
      <c r="E66" s="40"/>
      <c r="G66" s="41"/>
      <c r="H66" s="42"/>
      <c r="K66" s="41"/>
      <c r="L66" s="42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 s="32" customFormat="1" ht="15.75" customHeight="1" thickBot="1" x14ac:dyDescent="0.3">
      <c r="A67" s="31"/>
      <c r="B67" s="31"/>
      <c r="C67" s="31" t="s">
        <v>32</v>
      </c>
      <c r="D67" s="78">
        <f>P47</f>
        <v>8.1270614288980827</v>
      </c>
      <c r="E67" s="40"/>
      <c r="G67" s="43" t="s">
        <v>13</v>
      </c>
      <c r="H67" s="41" t="s">
        <v>30</v>
      </c>
      <c r="J67" s="43" t="s">
        <v>13</v>
      </c>
      <c r="K67" s="41" t="s">
        <v>31</v>
      </c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 s="32" customFormat="1" ht="15.75" customHeight="1" x14ac:dyDescent="0.25">
      <c r="A68" s="31"/>
      <c r="B68" s="31"/>
      <c r="C68" s="31" t="s">
        <v>33</v>
      </c>
      <c r="D68" s="78">
        <f>P54</f>
        <v>10.008219178082193</v>
      </c>
      <c r="E68" s="18"/>
      <c r="G68" s="36">
        <f>$D$13-$D$14</f>
        <v>0.11</v>
      </c>
      <c r="H68" s="65">
        <f>($D$67*(1+D$70))/($G68-D$70)</f>
        <v>104.63591589706283</v>
      </c>
      <c r="J68" s="36">
        <f>$D$13-$D$14</f>
        <v>0.11</v>
      </c>
      <c r="K68" s="75">
        <f>H68/((1+$J68)^$D$68)</f>
        <v>36.819549852975186</v>
      </c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 s="32" customFormat="1" ht="15.75" customHeight="1" x14ac:dyDescent="0.25">
      <c r="A69" s="31"/>
      <c r="B69" s="31"/>
      <c r="C69" s="31" t="s">
        <v>13</v>
      </c>
      <c r="D69" s="18">
        <f>D13</f>
        <v>0.12</v>
      </c>
      <c r="E69" s="29"/>
      <c r="G69" s="36">
        <f>$D$13</f>
        <v>0.12</v>
      </c>
      <c r="H69" s="65">
        <f>($D$67*(1+D$70))/($G69-D$70)</f>
        <v>93.009703019611408</v>
      </c>
      <c r="J69" s="36">
        <f>$D$13</f>
        <v>0.12</v>
      </c>
      <c r="K69" s="76">
        <f>H69/((1+$J69)^$D$68)</f>
        <v>29.91875375121386</v>
      </c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s="32" customFormat="1" ht="15.75" customHeight="1" thickBot="1" x14ac:dyDescent="0.3">
      <c r="A70" s="31"/>
      <c r="B70" s="31"/>
      <c r="C70" s="31" t="s">
        <v>51</v>
      </c>
      <c r="D70" s="18">
        <f>D17</f>
        <v>0.03</v>
      </c>
      <c r="E70" s="18"/>
      <c r="G70" s="36">
        <f>$D$13+$D$14</f>
        <v>0.13</v>
      </c>
      <c r="H70" s="65">
        <f>($D$67*(1+D$70))/($G70-D$70)</f>
        <v>83.70873271765025</v>
      </c>
      <c r="J70" s="36">
        <f>$D$13+$D$14</f>
        <v>0.13</v>
      </c>
      <c r="K70" s="77">
        <f>H70/((1+$J70)^$D$68)</f>
        <v>24.634858444511647</v>
      </c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s="32" customFormat="1" ht="15.75" customHeight="1" x14ac:dyDescent="0.25">
      <c r="A71" s="31"/>
      <c r="B71" s="31"/>
      <c r="C71" s="31"/>
      <c r="D71" s="31"/>
      <c r="E71" s="31"/>
      <c r="F71" s="31"/>
      <c r="G71" s="31"/>
      <c r="I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s="32" customFormat="1" ht="15.75" customHeight="1" x14ac:dyDescent="0.25">
      <c r="A72" s="31"/>
      <c r="B72" s="31"/>
      <c r="C72" s="30" t="str">
        <f>"Discounted Cash Flow Summary"&amp;" "&amp;H2</f>
        <v>Discounted Cash Flow Summary in $ million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 s="32" customFormat="1" ht="7.5" customHeight="1" x14ac:dyDescent="0.2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 s="32" customFormat="1" ht="15.75" customHeight="1" x14ac:dyDescent="0.25">
      <c r="A74" s="31"/>
      <c r="B74" s="31"/>
      <c r="C74" s="31" t="s">
        <v>13</v>
      </c>
      <c r="D74" s="31"/>
      <c r="E74" s="31"/>
      <c r="F74" s="36">
        <f>$D$13-$D$14</f>
        <v>0.11</v>
      </c>
      <c r="G74" s="36">
        <f>$D$13</f>
        <v>0.12</v>
      </c>
      <c r="H74" s="36">
        <f>$D$13+$D$14</f>
        <v>0.13</v>
      </c>
      <c r="I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 s="32" customFormat="1" ht="15.75" customHeight="1" x14ac:dyDescent="0.25">
      <c r="A75" s="31"/>
      <c r="B75" s="31"/>
      <c r="C75" s="44" t="s">
        <v>34</v>
      </c>
      <c r="D75" s="44"/>
      <c r="E75" s="44"/>
      <c r="F75" s="44"/>
      <c r="G75" s="44"/>
      <c r="H75" s="44"/>
      <c r="I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s="32" customFormat="1" ht="15.75" customHeight="1" x14ac:dyDescent="0.25">
      <c r="A76" s="31"/>
      <c r="B76" s="31"/>
      <c r="C76" s="31" t="s">
        <v>35</v>
      </c>
      <c r="D76" s="31"/>
      <c r="E76" s="31"/>
      <c r="F76" s="61">
        <f>$F$60</f>
        <v>39.094346969039876</v>
      </c>
      <c r="G76" s="61">
        <f>$F$61</f>
        <v>37.390793846235695</v>
      </c>
      <c r="H76" s="61">
        <f>$F$62</f>
        <v>35.798297549572119</v>
      </c>
      <c r="I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 s="32" customFormat="1" ht="15.75" customHeight="1" thickBot="1" x14ac:dyDescent="0.3">
      <c r="A77" s="31"/>
      <c r="B77" s="31"/>
      <c r="C77" s="31" t="s">
        <v>44</v>
      </c>
      <c r="D77" s="31"/>
      <c r="E77" s="31"/>
      <c r="F77" s="61">
        <f>K68</f>
        <v>36.819549852975186</v>
      </c>
      <c r="G77" s="61">
        <f>K69</f>
        <v>29.91875375121386</v>
      </c>
      <c r="H77" s="61">
        <f>K70</f>
        <v>24.634858444511647</v>
      </c>
      <c r="I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 s="32" customFormat="1" ht="15.75" customHeight="1" thickBot="1" x14ac:dyDescent="0.3">
      <c r="A78" s="31"/>
      <c r="B78" s="31"/>
      <c r="C78" s="45" t="str">
        <f>"Company Value"</f>
        <v>Company Value</v>
      </c>
      <c r="D78" s="46"/>
      <c r="E78" s="46"/>
      <c r="F78" s="62">
        <f>F76+F77</f>
        <v>75.913896822015062</v>
      </c>
      <c r="G78" s="62">
        <f t="shared" ref="G78:H78" si="23">G76+G77</f>
        <v>67.309547597449551</v>
      </c>
      <c r="H78" s="63">
        <f t="shared" si="23"/>
        <v>60.433155994083762</v>
      </c>
      <c r="I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 s="32" customFormat="1" ht="15.75" customHeight="1" x14ac:dyDescent="0.25">
      <c r="A79" s="31"/>
      <c r="B79" s="31"/>
      <c r="C79" s="44" t="s">
        <v>36</v>
      </c>
      <c r="D79" s="44"/>
      <c r="E79" s="44"/>
      <c r="F79" s="44"/>
      <c r="G79" s="44"/>
      <c r="H79" s="44"/>
      <c r="I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 s="32" customFormat="1" ht="15.75" customHeight="1" x14ac:dyDescent="0.25">
      <c r="A80" s="31"/>
      <c r="B80" s="31"/>
      <c r="C80" s="31" t="s">
        <v>37</v>
      </c>
      <c r="D80" s="31"/>
      <c r="E80" s="31"/>
      <c r="F80" s="47">
        <f>F76/F$78</f>
        <v>0.51498274499989172</v>
      </c>
      <c r="G80" s="47">
        <f t="shared" ref="G80:H81" si="24">G76/G$78</f>
        <v>0.55550505360479474</v>
      </c>
      <c r="H80" s="47">
        <f t="shared" si="24"/>
        <v>0.59236187421813069</v>
      </c>
      <c r="I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spans="1:26" s="32" customFormat="1" ht="15.75" customHeight="1" x14ac:dyDescent="0.25">
      <c r="A81" s="31"/>
      <c r="B81" s="31"/>
      <c r="C81" s="31" t="s">
        <v>54</v>
      </c>
      <c r="D81" s="31"/>
      <c r="E81" s="31"/>
      <c r="F81" s="47">
        <f>F77/F$78</f>
        <v>0.48501725500010823</v>
      </c>
      <c r="G81" s="47">
        <f t="shared" si="24"/>
        <v>0.44449494639520531</v>
      </c>
      <c r="H81" s="47">
        <f t="shared" si="24"/>
        <v>0.40763812578186931</v>
      </c>
      <c r="I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spans="1:26" s="32" customFormat="1" ht="15.75" customHeight="1" x14ac:dyDescent="0.25">
      <c r="A82" s="31"/>
      <c r="B82" s="31"/>
      <c r="C82" s="31"/>
      <c r="D82" s="31"/>
      <c r="E82" s="31"/>
      <c r="F82" s="48"/>
      <c r="G82" s="48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 ht="15.75" customHeight="1" x14ac:dyDescent="0.25">
      <c r="A83" s="8"/>
      <c r="B83" s="8"/>
      <c r="C83" s="5"/>
      <c r="D83" s="8"/>
      <c r="E83" s="8"/>
      <c r="F83" s="16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5">
      <c r="A84" s="8"/>
      <c r="B84" s="8"/>
      <c r="C84" s="8"/>
      <c r="D84" s="8"/>
      <c r="E84" s="8"/>
      <c r="F84" s="16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5.7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</sheetData>
  <mergeCells count="2">
    <mergeCell ref="C60:C62"/>
    <mergeCell ref="C56:C58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workbookViewId="0">
      <selection sqref="A1:XFD1048576"/>
    </sheetView>
  </sheetViews>
  <sheetFormatPr defaultColWidth="11.140625" defaultRowHeight="15.4" customHeight="1" x14ac:dyDescent="0.25"/>
  <cols>
    <col min="1" max="16384" width="11.140625" style="1"/>
  </cols>
  <sheetData>
    <row r="4" spans="1:1" s="81" customFormat="1" ht="26.25" x14ac:dyDescent="0.4">
      <c r="A4" s="80"/>
    </row>
    <row r="5" spans="1:1" s="81" customFormat="1" ht="26.25" x14ac:dyDescent="0.4">
      <c r="A5" s="82"/>
    </row>
    <row r="40" spans="1:15" s="81" customFormat="1" ht="26.25" x14ac:dyDescent="0.4">
      <c r="A40" s="86" t="s">
        <v>56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0"/>
      <c r="N40" s="80"/>
      <c r="O40" s="80"/>
    </row>
    <row r="41" spans="1:15" s="81" customFormat="1" ht="26.25" x14ac:dyDescent="0.4">
      <c r="A41" s="87" t="s">
        <v>57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3"/>
      <c r="N41" s="83"/>
      <c r="O41" s="83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Copyright-2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2022-05-02T09:01:31Z</dcterms:modified>
</cp:coreProperties>
</file>